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60" windowHeight="4695" tabRatio="822" activeTab="0"/>
  </bookViews>
  <sheets>
    <sheet name="Quick TC Calc" sheetId="1" r:id="rId1"/>
    <sheet name="MMC Calc" sheetId="2" r:id="rId2"/>
    <sheet name="Plate &amp; Rolled Cap Calc" sheetId="3" r:id="rId3"/>
    <sheet name="Medhurst" sheetId="4" r:id="rId4"/>
    <sheet name="Topload C Data from TCBA" sheetId="5" r:id="rId5"/>
  </sheets>
  <definedNames>
    <definedName name="_xlnm.Print_Area" localSheetId="0">'Quick TC Calc'!$A$1:$K$89</definedName>
  </definedNames>
  <calcPr fullCalcOnLoad="1"/>
</workbook>
</file>

<file path=xl/comments1.xml><?xml version="1.0" encoding="utf-8"?>
<comments xmlns="http://schemas.openxmlformats.org/spreadsheetml/2006/main">
  <authors>
    <author>IBM Customer</author>
  </authors>
  <commentList>
    <comment ref="A22" authorId="0">
      <text>
        <r>
          <rPr>
            <sz val="10"/>
            <rFont val="Courier"/>
            <family val="1"/>
          </rPr>
          <t xml:space="preserve">Wheeler's formula for the inductance of a vertical helical coil.  </t>
        </r>
        <r>
          <rPr>
            <b/>
            <sz val="10"/>
            <color indexed="10"/>
            <rFont val="Courier"/>
            <family val="1"/>
          </rPr>
          <t>Based on empiracle data so it's accuracy is about +/- 10%.</t>
        </r>
        <r>
          <rPr>
            <sz val="10"/>
            <rFont val="Courier"/>
            <family val="1"/>
          </rPr>
          <t xml:space="preserve">
 L = R^2*N^2/(9*R+10*len)  (Vertical Helix)
        L = inductance in microhenries (uH)
        R = average radius in (in)
        N = number of turns
        len - length of winding in (in)
</t>
        </r>
      </text>
    </comment>
    <comment ref="F22" authorId="0">
      <text>
        <r>
          <rPr>
            <b/>
            <sz val="8"/>
            <color indexed="10"/>
            <rFont val="Arial"/>
            <family val="2"/>
          </rPr>
          <t>Medhurst based this on empiracle data so it is accurate to about +/- 10%</t>
        </r>
        <r>
          <rPr>
            <sz val="8"/>
            <rFont val="Arial"/>
            <family val="2"/>
          </rPr>
          <t xml:space="preserve">
***** I ripped this off of the TCML, it was written by Mark S. Rzeszotarski, Ph.D. *****
----------------------------------------------------------------------------------
 Medhurst's formula:    C  = K x D
where:  C = capacitance in picofarads
        K = constant which depends on the ratio of the coil height to diameter
        x = means multiply K times D
        D = solenoidal coil diameter in centimeters
        H = coil height in centimeters
        H/D       K
        5.0     0.81
        4.5     0.77
        4.0     0.72
        3.5     0.67
        3.0     0.61
        2.5     0.56
        2.0     0.50
        1.5     0.47
        1.0     0.46
The data is from Medhurst in Wireless Engineer V24.281 (Feb 1947) 35, and
V24.282 (May 1947) 80 (printed in England).
Regards,
Mark S. Rzeszotarski, Ph.D.</t>
        </r>
      </text>
    </comment>
    <comment ref="A26" authorId="0">
      <text>
        <r>
          <rPr>
            <sz val="10"/>
            <rFont val="Arial"/>
            <family val="2"/>
          </rPr>
          <t>The self resonant frequence of the Tesla Coil may be approximated by assuming that the system may be adequately modeled by a second order differential equation.
---------------------derive eqn here-------------------</t>
        </r>
      </text>
    </comment>
    <comment ref="A38" authorId="0">
      <text>
        <r>
          <rPr>
            <sz val="12"/>
            <rFont val="Arial"/>
            <family val="2"/>
          </rPr>
          <t xml:space="preserve">This is the capacitor that has the same impedance as the HV transformer.  This insures the power from the transformer is most efficiently delivered to the capacitor.
For DC systems, Ohm's Law states V=I*R, this may be algebraically rearranged as R = V / I
Impedance (Z) = Resistance (R) + Reactance (X).   Since resistance is just the DC component of impedence, and the formula may be more correctly written as Z = V / I where Z is impedance.  We want the impedances to be equal, therefore
Z (transformer) = Z (capacitor)
The formula for capacitive reactance is X(c) = 1 / (F * C)  where F is freq in radians per second
we can get the frequency in more user friendly terms of Hz by using the conversion factor of 1Hz = 2*pi radians / s.
Z (transformer) = Z (capacitor)
V / I = 1 / (2 * pi * F * C),   now we need to rearrange and solve for C
C = I / (2 * pi * V),  now add conversion factors so we can enter the current in ma and get C in uF
C = 1000 * I / (2 * pi * V)
</t>
        </r>
      </text>
    </comment>
    <comment ref="G3" authorId="0">
      <text>
        <r>
          <rPr>
            <sz val="10"/>
            <rFont val="Arial"/>
            <family val="2"/>
          </rPr>
          <t>C (pF) = (25.4 * R ) / 9
        R = radius in (in)</t>
        </r>
      </text>
    </comment>
    <comment ref="C3" authorId="0">
      <text>
        <r>
          <rPr>
            <sz val="10"/>
            <rFont val="Arial"/>
            <family val="2"/>
          </rPr>
          <t>Formula originally came from Bert Pool.  Formula has been modified so that D(maj) and D(min) are defined as shown in the graphic.  It agrees with WinTesla 3.2.0 on 4/10/00 - Ross
C(pf) = (1+(0.278-(Dmin/(Dmaj+Dmin))))*2.8*SQRT(PI()*Dmaj*Dmin/4)
where all diameters are measured in inches</t>
        </r>
      </text>
    </comment>
    <comment ref="G47" authorId="0">
      <text>
        <r>
          <rPr>
            <sz val="10"/>
            <rFont val="Arial"/>
            <family val="2"/>
          </rPr>
          <t>Experience has shown that the resonant freq of the secondary drops a bit when arcs start breaking out of the topload.  With this in mind, we want to allow for additional turns on the primary so we can "tap further out" thereby increasing Lp and dropping the primary resonant freq to more closely match the secondary resonant freq.
I seem to have good luck about 1 turn out from the calculated tap point.</t>
        </r>
      </text>
    </comment>
    <comment ref="H15" authorId="0">
      <text>
        <r>
          <rPr>
            <sz val="10"/>
            <rFont val="Arial"/>
            <family val="2"/>
          </rPr>
          <t>I noticed that this is usually about 2 mils smaller than the measured dia b/c it doesn't include the insulation</t>
        </r>
      </text>
    </comment>
    <comment ref="G38" authorId="0">
      <text>
        <r>
          <rPr>
            <sz val="10"/>
            <rFont val="Arial"/>
            <family val="2"/>
          </rPr>
          <t>Energy per "bang" assuming the capacitor has charged to the peak AC voltage of the transformer and fully discharges during the spark gap closure.  
Energy = 1/2 * C * V^2
C = capacitance in Farads
V = PEAK AC voltage of transformer ( = 1.4*Vrms)</t>
        </r>
      </text>
    </comment>
  </commentList>
</comments>
</file>

<file path=xl/comments2.xml><?xml version="1.0" encoding="utf-8"?>
<comments xmlns="http://schemas.openxmlformats.org/spreadsheetml/2006/main">
  <authors>
    <author>BNSF RR</author>
  </authors>
  <commentList>
    <comment ref="B16" authorId="0">
      <text>
        <r>
          <rPr>
            <sz val="8"/>
            <rFont val="Tahoma"/>
            <family val="2"/>
          </rPr>
          <t>Enter the value of 1 individual MMC Capacitor, in microfarads (uF)</t>
        </r>
      </text>
    </comment>
    <comment ref="B17" authorId="0">
      <text>
        <r>
          <rPr>
            <sz val="8"/>
            <rFont val="Tahoma"/>
            <family val="2"/>
          </rPr>
          <t>Enter the maximum voltage of 1 individual MMC capacitor, in volts</t>
        </r>
      </text>
    </comment>
    <comment ref="B19" authorId="0">
      <text>
        <r>
          <rPr>
            <sz val="8"/>
            <rFont val="Tahoma"/>
            <family val="2"/>
          </rPr>
          <t>The voltage of the transformer you wish to use.  This sets the lower limit for the number of series capacitors you can use.  Cells at the top of the table will be grey if the voltage of the series capacitors falls below this value.</t>
        </r>
      </text>
    </comment>
    <comment ref="B21" authorId="0">
      <text>
        <r>
          <rPr>
            <sz val="8"/>
            <rFont val="Tahoma"/>
            <family val="2"/>
          </rPr>
          <t>The target value of the MMC that you wish to produce.</t>
        </r>
      </text>
    </comment>
    <comment ref="B22" authorId="0">
      <text>
        <r>
          <rPr>
            <sz val="8"/>
            <rFont val="Tahoma"/>
            <family val="2"/>
          </rPr>
          <t>Tolerance of the target value.  This is the percentage (+,-) that you are willing to deviate from the target value.  Series/parallel combinations that meet the tolerance, voltage, and capacitor number criteria will appear green.</t>
        </r>
      </text>
    </comment>
    <comment ref="B24" authorId="0">
      <text>
        <r>
          <rPr>
            <sz val="8"/>
            <rFont val="Tahoma"/>
            <family val="2"/>
          </rPr>
          <t>The maximum number of capacitors you wish to work with.  This generates a gray area beginning at the lower right corner of the table.  Capacitor values falling in this gray area can not be constructed because you do not have enough individual capacitors to complete the configuration</t>
        </r>
      </text>
    </comment>
    <comment ref="A27" authorId="0">
      <text>
        <r>
          <rPr>
            <sz val="8"/>
            <rFont val="Tahoma"/>
            <family val="2"/>
          </rPr>
          <t xml:space="preserve">Green cells indicate a capacitance value that meets the criteria for minimum voltage, target capacitance (within tolerance), and maximum number of capacitors to use.  Selections to the upper left will have less "overdesign" while selections to the lower right will have more. </t>
        </r>
      </text>
    </comment>
    <comment ref="A28" authorId="0">
      <text>
        <r>
          <rPr>
            <sz val="8"/>
            <rFont val="Tahoma"/>
            <family val="2"/>
          </rPr>
          <t>White cells on the table do not fall within the specified tolerance of the target capacitance, however, the capacitance value is obtainable using the specified maximum number of capacitors.</t>
        </r>
      </text>
    </comment>
    <comment ref="A29" authorId="0">
      <text>
        <r>
          <rPr>
            <sz val="8"/>
            <rFont val="Tahoma"/>
            <family val="2"/>
          </rPr>
          <t>Grey cells exceed either minimum voltage requirements based on transformer selection, or maximum number of capacitors specified.</t>
        </r>
      </text>
    </comment>
  </commentList>
</comments>
</file>

<file path=xl/sharedStrings.xml><?xml version="1.0" encoding="utf-8"?>
<sst xmlns="http://schemas.openxmlformats.org/spreadsheetml/2006/main" count="202" uniqueCount="174">
  <si>
    <t>L =</t>
  </si>
  <si>
    <t>Self resonant frequency of secondary:</t>
  </si>
  <si>
    <t>f =</t>
  </si>
  <si>
    <t>Unloaded</t>
  </si>
  <si>
    <t>Loaded</t>
  </si>
  <si>
    <t>C total =</t>
  </si>
  <si>
    <t>R =</t>
  </si>
  <si>
    <t>N = number of turns</t>
  </si>
  <si>
    <t>N =</t>
  </si>
  <si>
    <t>H =</t>
  </si>
  <si>
    <t>L = inductance in microheneries</t>
  </si>
  <si>
    <t>VLOOKUP Table for determining K from H/D:</t>
  </si>
  <si>
    <t>H/D</t>
  </si>
  <si>
    <t>K</t>
  </si>
  <si>
    <t>in</t>
  </si>
  <si>
    <t>Gauge</t>
  </si>
  <si>
    <t>O = angle in degrees (flat = 0)</t>
  </si>
  <si>
    <t>W=</t>
  </si>
  <si>
    <t>O=</t>
  </si>
  <si>
    <t>R = minor (small) radius (in.)</t>
  </si>
  <si>
    <t>W= width of all coils (in.)</t>
  </si>
  <si>
    <t>in.</t>
  </si>
  <si>
    <t>I = Transformer Amperage (mA)</t>
  </si>
  <si>
    <t>V= Transformer Voltage (volts)</t>
  </si>
  <si>
    <t>Hz = Line Frequency (Hz)</t>
  </si>
  <si>
    <t>Enter Values</t>
  </si>
  <si>
    <t>V=</t>
  </si>
  <si>
    <t>I=</t>
  </si>
  <si>
    <t>Hz=</t>
  </si>
  <si>
    <t xml:space="preserve">Capacitance of Plate Capacitor, knowing dielectric constant, plate area and thickness </t>
  </si>
  <si>
    <t>Er = Dielectric constant</t>
  </si>
  <si>
    <t>N = Number of plates</t>
  </si>
  <si>
    <t>Er=</t>
  </si>
  <si>
    <t>N=</t>
  </si>
  <si>
    <t>A=</t>
  </si>
  <si>
    <t>Capacitance =</t>
  </si>
  <si>
    <t>T=</t>
  </si>
  <si>
    <t>Pri. Turn</t>
  </si>
  <si>
    <t>D = Diameter of tube or wire</t>
  </si>
  <si>
    <t>D=</t>
  </si>
  <si>
    <t>S = Spacing between turns</t>
  </si>
  <si>
    <t>S=</t>
  </si>
  <si>
    <t>Diameter (in.)</t>
  </si>
  <si>
    <t>Total</t>
  </si>
  <si>
    <t>Overall</t>
  </si>
  <si>
    <t>Cumulative</t>
  </si>
  <si>
    <t>(in.)</t>
  </si>
  <si>
    <t xml:space="preserve">Circumference </t>
  </si>
  <si>
    <t>Length (ft.)</t>
  </si>
  <si>
    <t>Height (in.)</t>
  </si>
  <si>
    <t>Inductance (mH)</t>
  </si>
  <si>
    <t>T = Thickness of dielectric (in.)</t>
  </si>
  <si>
    <t>H = height of all coils (in.)</t>
  </si>
  <si>
    <t>Hy = hypotenuse of coils (in.)</t>
  </si>
  <si>
    <t xml:space="preserve">Hy = </t>
  </si>
  <si>
    <t>+  secondary self c&gt;</t>
  </si>
  <si>
    <t>Assumed total capacitance:</t>
  </si>
  <si>
    <t>Polypropylene = 2.26</t>
  </si>
  <si>
    <t>A = Area of plates (sq. in.)</t>
  </si>
  <si>
    <t>Turns/in.</t>
  </si>
  <si>
    <t>L=</t>
  </si>
  <si>
    <t>mH</t>
  </si>
  <si>
    <t>uH</t>
  </si>
  <si>
    <t>pF</t>
  </si>
  <si>
    <t>kHz</t>
  </si>
  <si>
    <t>degrees</t>
  </si>
  <si>
    <t>uF</t>
  </si>
  <si>
    <t xml:space="preserve">C = </t>
  </si>
  <si>
    <t>volts</t>
  </si>
  <si>
    <t>mA</t>
  </si>
  <si>
    <t>Hz</t>
  </si>
  <si>
    <t>sq. in.</t>
  </si>
  <si>
    <t>For Rolled Capacitors, Calculate for two (2) plates, then double the answer.</t>
  </si>
  <si>
    <t>H/D =</t>
  </si>
  <si>
    <t xml:space="preserve">Inductance from Wheeler Equation:  </t>
  </si>
  <si>
    <t>Secondary Self C from Medhurst Formula:</t>
  </si>
  <si>
    <t>DISCHARGE TERMINAL</t>
  </si>
  <si>
    <t>PHYSICAL PROPERTIES</t>
  </si>
  <si>
    <t>ELECTRICAL PROPERTIES</t>
  </si>
  <si>
    <t>turns</t>
  </si>
  <si>
    <t>pF  w/  K=</t>
  </si>
  <si>
    <t>Form OD</t>
  </si>
  <si>
    <t>Wire Dia</t>
  </si>
  <si>
    <t>Feet of wire</t>
  </si>
  <si>
    <t>Wire Dia used</t>
  </si>
  <si>
    <t>Caps in</t>
  </si>
  <si>
    <t>Caps in Parallel</t>
  </si>
  <si>
    <t>Series</t>
  </si>
  <si>
    <t>MMC Capacitance</t>
  </si>
  <si>
    <t>Maximum Voltage</t>
  </si>
  <si>
    <t>Volts</t>
  </si>
  <si>
    <t>Target Capacitance</t>
  </si>
  <si>
    <t>Tolerance</t>
  </si>
  <si>
    <t>mH / inch</t>
  </si>
  <si>
    <t>CAPACITOR / PSU IMPEDANCE MATCHING</t>
  </si>
  <si>
    <t>C=</t>
  </si>
  <si>
    <t>L(p)=</t>
  </si>
  <si>
    <t>Winding Len</t>
  </si>
  <si>
    <t>Primary Inductance Needed =</t>
  </si>
  <si>
    <t>topload capacitance&gt;</t>
  </si>
  <si>
    <t>K Volts</t>
  </si>
  <si>
    <t>Transformer Voltage</t>
  </si>
  <si>
    <t>Max Number of Caps</t>
  </si>
  <si>
    <t>Green Cells Meet Criteria Specified Above</t>
  </si>
  <si>
    <t>White Cells are Other Obtainable Values</t>
  </si>
  <si>
    <t>Grey Cells Exceed Criteria Specified Above</t>
  </si>
  <si>
    <t>IGNORE THIS DATA, IT IS SIMPLY A LOOKUP TABLE USED IN THE CALCULATION OF MEDHURST'S FORMULA</t>
  </si>
  <si>
    <t>Wire Gauge Calculator</t>
  </si>
  <si>
    <t>D (min) =</t>
  </si>
  <si>
    <t>D (maj) =</t>
  </si>
  <si>
    <t>Primary Capacitance Chosen =</t>
  </si>
  <si>
    <t>SECONDARY CIRCUIT</t>
  </si>
  <si>
    <t>PRIMARY CIRCUIT</t>
  </si>
  <si>
    <t>CALCULATE RESONANT FREQ OF ANY PARALLEL L-C CIRCUIT</t>
  </si>
  <si>
    <t>F(kHz) =</t>
  </si>
  <si>
    <t>C (uF) =</t>
  </si>
  <si>
    <t>L (uH) =</t>
  </si>
  <si>
    <t>SPHERE</t>
  </si>
  <si>
    <t xml:space="preserve"> </t>
  </si>
  <si>
    <t>C =</t>
  </si>
  <si>
    <t>Radius =</t>
  </si>
  <si>
    <t>Pri F(res) using values chosen =</t>
  </si>
  <si>
    <t xml:space="preserve">Sec F(res) using values chosen = </t>
  </si>
  <si>
    <t>RESONANCE CHECKER - SEE COMMENTS</t>
  </si>
  <si>
    <t>(enter dia in inches in cell B17)</t>
  </si>
  <si>
    <t>Z-matched Capacitance (uF)</t>
  </si>
  <si>
    <t xml:space="preserve">input == </t>
  </si>
  <si>
    <t>yellow cell</t>
  </si>
  <si>
    <t>blue cell</t>
  </si>
  <si>
    <t xml:space="preserve">result == </t>
  </si>
  <si>
    <t>------------YEAH, THIS PAGE NEEDS WORK--------------</t>
  </si>
  <si>
    <t>TOROID - Pool Eqn</t>
  </si>
  <si>
    <t>Plus, who cares about rolled caps now that MMC's are figured out</t>
  </si>
  <si>
    <t>MY NOTES AND EXTRA STUFF -- NOT REQUIRED</t>
  </si>
  <si>
    <t>PRIMARY L NEEDED TO FORCE PRIMARY RESONANT FREQ TO EQUAL LOADED SEC RESONANT FREQ</t>
  </si>
  <si>
    <t xml:space="preserve">"TheDesigner" - originally written by Ed Sonderman and may be found at http://www.pupman.com
--- excellent program
"TheDesigner30" is a revision by Corey Ruch and may be found on his web site (http://members.tripod.com/~coreyonline/CoreysTC.html)
--- Corey did some great work by adding more formulas, a MMC calculator, graphics, and conditional color coding
"QTC" is a revision by Ross Overstreet &lt;ross-o@mindspring.com&gt; in March 2000
--- I wanted a version that only displayed the bare minimum amount of information. I also wanted to add more info on on the formulas while keeping the display small and simple so I used comment blocks.  
Feel free to distribute, modify, make requests for changes, etc - Ross
</t>
  </si>
  <si>
    <t xml:space="preserve">Energy </t>
  </si>
  <si>
    <t>Joules</t>
  </si>
  <si>
    <t>HISTORY OF "QTC.XLS"</t>
  </si>
  <si>
    <t>Designed by Corey Ruch</t>
  </si>
  <si>
    <t>Num turns</t>
  </si>
  <si>
    <t>&lt;= from D7 or other source</t>
  </si>
  <si>
    <t xml:space="preserve">                TERMINAL C (uufd), OUTSIDE DIAMETER EQUALS </t>
  </si>
  <si>
    <t xml:space="preserve">              6"      12"      18"      24"      30"      36"</t>
  </si>
  <si>
    <t>DISK         5.3     10.7     16.0     21.3     26.7     32.0</t>
  </si>
  <si>
    <t>3" RING      6.6     12.9     18.8     24.5     30.1     35.7</t>
  </si>
  <si>
    <t>4" RING      ----    13.2     19.5     25.1     30.7     36.4</t>
  </si>
  <si>
    <t>6" RING      ----    13.2     19.8     25.9     31.7     37.2</t>
  </si>
  <si>
    <t>8" RING      ----    ----     19.9     26.4     32.5     38.4</t>
  </si>
  <si>
    <t>10" RING     ----    ----     ----     26.5     33.0     39.2</t>
  </si>
  <si>
    <t>12" RING     ----    ----     ----     ----     33.1     39.6</t>
  </si>
  <si>
    <t>SPHERE       8.4     16.8     25.1     33.5     41.9     50.3</t>
  </si>
  <si>
    <t>C, uufd, OD = 6"      12"      18"      24"      30"      36"</t>
  </si>
  <si>
    <t xml:space="preserve">    (--- INDICATES O.D. LESS THAN TWICE RING DIAMETER.)</t>
  </si>
  <si>
    <t>&gt;From Michael Schoessow, TCBA NEWS Volume 6, #2, 1987, pp 12-15</t>
  </si>
  <si>
    <t xml:space="preserve">   CAPACITANCE OF ISOLATED TERMINALS, DIMENSIONS IN INCHES</t>
  </si>
  <si>
    <t>(3" RING = TOROID OF GIVEN OD,MADE OF 3" DIAMETER TUBING, ETC.)</t>
  </si>
  <si>
    <t>NOTE:</t>
  </si>
  <si>
    <t xml:space="preserve">     The effective capacitance (the value to add to the</t>
  </si>
  <si>
    <t>distributed capacitance of the coil to determine the resultant</t>
  </si>
  <si>
    <t>resonant frequency) of a terminal on top of a coil will be less</t>
  </si>
  <si>
    <t>than the capacitance given here.  These capacitances are the</t>
  </si>
  <si>
    <t>values which would result if all of the electric field lines</t>
  </si>
  <si>
    <t>from the terminal terminated in ground infinitely far removed</t>
  </si>
  <si>
    <t>from the terminal.  In the case of the coil, some of the field</t>
  </si>
  <si>
    <t>lines will terminate along the coil, so that some of the capacitance</t>
  </si>
  <si>
    <t>will be across only part of the coil, reducing its effect on the</t>
  </si>
  <si>
    <t>resonant frequency.  This is kind of a lame explanation, but isn't</t>
  </si>
  <si>
    <t>too far from being correct.</t>
  </si>
  <si>
    <t>Subject:  Re: Formulas wanted!(toroid, helical)</t>
  </si>
  <si>
    <t xml:space="preserve">  Date:  Sat, 10 May 1997 14:18:34 -0700 (PDT)</t>
  </si>
  <si>
    <t xml:space="preserve">  From:  "Edward V. Phillips" &lt;ed@alumni.caltech.edu&gt;</t>
  </si>
  <si>
    <t xml:space="preserve">    To:  tesla@pupman.com</t>
  </si>
  <si>
    <t>Original Author listed below (ripped from TCML):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</si>
</sst>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0000"/>
    <numFmt numFmtId="168" formatCode="#,##0.0000000"/>
    <numFmt numFmtId="169" formatCode="#,##0.00000"/>
    <numFmt numFmtId="170" formatCode="0.000"/>
    <numFmt numFmtId="171" formatCode=".000"/>
    <numFmt numFmtId="172" formatCode="0.0000"/>
    <numFmt numFmtId="173" formatCode="0.00000"/>
    <numFmt numFmtId="174" formatCode="00000"/>
    <numFmt numFmtId="175" formatCode="0.000000"/>
    <numFmt numFmtId="176" formatCode="#,##0.0"/>
  </numFmts>
  <fonts count="20">
    <font>
      <sz val="10"/>
      <name val="Arial"/>
      <family val="0"/>
    </font>
    <font>
      <b/>
      <sz val="10"/>
      <name val="Arial"/>
      <family val="0"/>
    </font>
    <font>
      <i/>
      <sz val="10"/>
      <name val="Arial"/>
      <family val="0"/>
    </font>
    <font>
      <b/>
      <i/>
      <sz val="10"/>
      <name val="Arial"/>
      <family val="0"/>
    </font>
    <font>
      <u val="single"/>
      <sz val="10"/>
      <name val="Arial"/>
      <family val="2"/>
    </font>
    <font>
      <sz val="10"/>
      <name val="CityBlueprint"/>
      <family val="0"/>
    </font>
    <font>
      <sz val="8"/>
      <name val="Arial"/>
      <family val="2"/>
    </font>
    <font>
      <b/>
      <sz val="8"/>
      <name val="Arial"/>
      <family val="2"/>
    </font>
    <font>
      <sz val="8"/>
      <name val="Tahoma"/>
      <family val="2"/>
    </font>
    <font>
      <sz val="7"/>
      <name val="Arial"/>
      <family val="2"/>
    </font>
    <font>
      <sz val="10"/>
      <name val="Courier"/>
      <family val="1"/>
    </font>
    <font>
      <b/>
      <sz val="10"/>
      <color indexed="10"/>
      <name val="Courier"/>
      <family val="1"/>
    </font>
    <font>
      <b/>
      <sz val="8"/>
      <color indexed="10"/>
      <name val="Arial"/>
      <family val="2"/>
    </font>
    <font>
      <b/>
      <sz val="8"/>
      <color indexed="8"/>
      <name val="Arial"/>
      <family val="2"/>
    </font>
    <font>
      <b/>
      <sz val="10"/>
      <color indexed="13"/>
      <name val="Arial"/>
      <family val="2"/>
    </font>
    <font>
      <sz val="14"/>
      <color indexed="12"/>
      <name val="Arial"/>
      <family val="2"/>
    </font>
    <font>
      <sz val="14"/>
      <name val="Arial"/>
      <family val="2"/>
    </font>
    <font>
      <sz val="11"/>
      <name val="Courier"/>
      <family val="3"/>
    </font>
    <font>
      <b/>
      <sz val="7"/>
      <name val="Arial"/>
      <family val="2"/>
    </font>
    <font>
      <sz val="12"/>
      <name val="Arial"/>
      <family val="2"/>
    </font>
  </fonts>
  <fills count="12">
    <fill>
      <patternFill/>
    </fill>
    <fill>
      <patternFill patternType="gray125"/>
    </fill>
    <fill>
      <patternFill patternType="solid">
        <fgColor indexed="55"/>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s>
  <borders count="29">
    <border>
      <left/>
      <right/>
      <top/>
      <bottom/>
      <diagonal/>
    </border>
    <border>
      <left style="thin"/>
      <right style="thin"/>
      <top style="thin"/>
      <bottom style="thin"/>
    </border>
    <border>
      <left>
        <color indexed="63"/>
      </left>
      <right>
        <color indexed="63"/>
      </right>
      <top>
        <color indexed="63"/>
      </top>
      <bottom style="double"/>
    </border>
    <border>
      <left style="hair"/>
      <right>
        <color indexed="63"/>
      </right>
      <top style="hair"/>
      <bottom style="hair"/>
    </border>
    <border>
      <left>
        <color indexed="63"/>
      </left>
      <right style="hair"/>
      <top style="hair"/>
      <bottom style="hair"/>
    </border>
    <border>
      <left style="thin"/>
      <right style="thin"/>
      <top>
        <color indexed="63"/>
      </top>
      <bottom style="thin"/>
    </border>
    <border>
      <left style="medium"/>
      <right style="medium"/>
      <top style="medium"/>
      <bottom style="thin"/>
    </border>
    <border>
      <left style="medium"/>
      <right style="medium"/>
      <top style="medium"/>
      <bottom>
        <color indexed="63"/>
      </bottom>
    </border>
    <border>
      <left style="medium"/>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color indexed="63"/>
      </top>
      <bottom>
        <color indexed="63"/>
      </bottom>
    </border>
    <border>
      <left style="thin"/>
      <right style="double"/>
      <top style="double"/>
      <bottom style="double"/>
    </border>
    <border>
      <left style="double"/>
      <right>
        <color indexed="63"/>
      </right>
      <top style="double"/>
      <bottom style="double"/>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164" fontId="0" fillId="0" borderId="0" xfId="0" applyNumberFormat="1" applyAlignment="1">
      <alignment/>
    </xf>
    <xf numFmtId="0" fontId="0" fillId="0" borderId="0" xfId="0" applyAlignment="1">
      <alignment horizontal="center"/>
    </xf>
    <xf numFmtId="0" fontId="4" fillId="0" borderId="0" xfId="0" applyFont="1" applyAlignment="1">
      <alignment/>
    </xf>
    <xf numFmtId="0" fontId="0" fillId="0" borderId="0" xfId="0" applyAlignment="1">
      <alignment horizontal="left"/>
    </xf>
    <xf numFmtId="171" fontId="0" fillId="0" borderId="0" xfId="0" applyNumberFormat="1" applyAlignment="1">
      <alignment/>
    </xf>
    <xf numFmtId="0" fontId="0" fillId="2" borderId="0" xfId="0" applyFill="1" applyAlignment="1">
      <alignment/>
    </xf>
    <xf numFmtId="164" fontId="4" fillId="0" borderId="0" xfId="0" applyNumberFormat="1" applyFont="1" applyFill="1" applyBorder="1" applyAlignment="1">
      <alignment/>
    </xf>
    <xf numFmtId="164" fontId="0" fillId="0" borderId="0" xfId="0" applyNumberFormat="1" applyFont="1" applyFill="1" applyBorder="1" applyAlignment="1">
      <alignment horizontal="center"/>
    </xf>
    <xf numFmtId="0" fontId="0" fillId="0" borderId="1" xfId="0" applyBorder="1" applyAlignment="1">
      <alignment horizontal="center"/>
    </xf>
    <xf numFmtId="164" fontId="0" fillId="0" borderId="0" xfId="0" applyNumberFormat="1" applyFont="1" applyFill="1" applyBorder="1" applyAlignment="1">
      <alignment/>
    </xf>
    <xf numFmtId="0" fontId="0" fillId="0" borderId="0" xfId="0" applyFill="1" applyAlignment="1">
      <alignment/>
    </xf>
    <xf numFmtId="0" fontId="0" fillId="3" borderId="0" xfId="0" applyFill="1" applyAlignment="1">
      <alignment/>
    </xf>
    <xf numFmtId="0" fontId="4" fillId="0" borderId="0" xfId="0" applyFont="1" applyAlignment="1" quotePrefix="1">
      <alignment/>
    </xf>
    <xf numFmtId="0" fontId="0" fillId="4" borderId="1" xfId="0" applyFill="1" applyBorder="1" applyAlignment="1">
      <alignment/>
    </xf>
    <xf numFmtId="1" fontId="0" fillId="5" borderId="1" xfId="0" applyNumberFormat="1" applyFont="1" applyFill="1" applyBorder="1" applyAlignment="1">
      <alignment/>
    </xf>
    <xf numFmtId="164" fontId="0" fillId="4" borderId="1" xfId="0" applyNumberFormat="1" applyFill="1" applyBorder="1" applyAlignment="1">
      <alignment/>
    </xf>
    <xf numFmtId="164" fontId="4" fillId="5" borderId="1" xfId="0" applyNumberFormat="1" applyFont="1" applyFill="1" applyBorder="1" applyAlignment="1">
      <alignment/>
    </xf>
    <xf numFmtId="170" fontId="0" fillId="5" borderId="1" xfId="0" applyNumberFormat="1" applyFill="1" applyBorder="1" applyAlignment="1">
      <alignment/>
    </xf>
    <xf numFmtId="0" fontId="0" fillId="4" borderId="1" xfId="0" applyFill="1" applyBorder="1" applyAlignment="1" applyProtection="1">
      <alignment/>
      <protection locked="0"/>
    </xf>
    <xf numFmtId="170" fontId="0" fillId="4" borderId="1" xfId="0" applyNumberFormat="1" applyFill="1" applyBorder="1" applyAlignment="1" applyProtection="1">
      <alignment/>
      <protection locked="0"/>
    </xf>
    <xf numFmtId="0" fontId="0" fillId="4" borderId="1" xfId="0" applyFill="1" applyBorder="1" applyAlignment="1">
      <alignment horizontal="center"/>
    </xf>
    <xf numFmtId="3" fontId="0" fillId="4" borderId="1" xfId="0" applyNumberFormat="1" applyFill="1" applyBorder="1" applyAlignment="1">
      <alignment horizontal="center"/>
    </xf>
    <xf numFmtId="4" fontId="0" fillId="4" borderId="1" xfId="0" applyNumberFormat="1" applyFill="1" applyBorder="1" applyAlignment="1">
      <alignment horizontal="center"/>
    </xf>
    <xf numFmtId="170" fontId="0" fillId="4" borderId="1" xfId="0" applyNumberFormat="1" applyFill="1" applyBorder="1" applyAlignment="1">
      <alignment horizontal="center"/>
    </xf>
    <xf numFmtId="2" fontId="0" fillId="5" borderId="1" xfId="0" applyNumberFormat="1" applyFill="1" applyBorder="1" applyAlignment="1">
      <alignment/>
    </xf>
    <xf numFmtId="2" fontId="4" fillId="5" borderId="1" xfId="0" applyNumberFormat="1" applyFont="1" applyFill="1" applyBorder="1" applyAlignment="1">
      <alignment/>
    </xf>
    <xf numFmtId="164" fontId="0" fillId="5" borderId="1" xfId="0" applyNumberFormat="1" applyFill="1" applyBorder="1" applyAlignment="1">
      <alignment/>
    </xf>
    <xf numFmtId="2" fontId="0" fillId="5" borderId="1" xfId="0" applyNumberFormat="1" applyFill="1" applyBorder="1" applyAlignment="1" applyProtection="1">
      <alignment/>
      <protection locked="0"/>
    </xf>
    <xf numFmtId="0" fontId="0" fillId="0" borderId="0" xfId="0" applyFill="1" applyBorder="1" applyAlignment="1">
      <alignment horizontal="left"/>
    </xf>
    <xf numFmtId="170" fontId="4" fillId="5" borderId="1" xfId="0" applyNumberFormat="1" applyFont="1" applyFill="1" applyBorder="1" applyAlignment="1">
      <alignment horizontal="center"/>
    </xf>
    <xf numFmtId="164" fontId="0" fillId="0" borderId="0" xfId="0" applyNumberFormat="1" applyFont="1" applyFill="1" applyBorder="1" applyAlignment="1">
      <alignment horizontal="left"/>
    </xf>
    <xf numFmtId="170" fontId="4" fillId="0" borderId="0" xfId="0" applyNumberFormat="1" applyFont="1" applyFill="1" applyBorder="1" applyAlignment="1">
      <alignment horizontal="center"/>
    </xf>
    <xf numFmtId="0" fontId="0" fillId="0" borderId="2" xfId="0" applyBorder="1" applyAlignment="1">
      <alignment/>
    </xf>
    <xf numFmtId="0" fontId="0" fillId="0" borderId="0" xfId="0" applyFill="1" applyAlignment="1">
      <alignment horizontal="center"/>
    </xf>
    <xf numFmtId="170" fontId="0" fillId="0" borderId="0" xfId="0" applyNumberFormat="1" applyFont="1" applyFill="1" applyBorder="1" applyAlignment="1">
      <alignment horizontal="center"/>
    </xf>
    <xf numFmtId="0" fontId="0" fillId="6" borderId="3" xfId="0" applyFont="1" applyFill="1" applyBorder="1" applyAlignment="1">
      <alignment horizontal="left"/>
    </xf>
    <xf numFmtId="0" fontId="0" fillId="0" borderId="0" xfId="0" applyFont="1" applyAlignment="1">
      <alignment horizontal="lef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0" fillId="0" borderId="4" xfId="0" applyFont="1" applyFill="1" applyBorder="1" applyAlignment="1">
      <alignment/>
    </xf>
    <xf numFmtId="164" fontId="0" fillId="0" borderId="0" xfId="0" applyNumberFormat="1" applyFill="1" applyBorder="1" applyAlignment="1">
      <alignment/>
    </xf>
    <xf numFmtId="0" fontId="7" fillId="0" borderId="0" xfId="0" applyFont="1" applyAlignment="1">
      <alignment/>
    </xf>
    <xf numFmtId="164" fontId="0" fillId="5" borderId="1" xfId="0" applyNumberFormat="1" applyFont="1" applyFill="1" applyBorder="1" applyAlignment="1">
      <alignment/>
    </xf>
    <xf numFmtId="170" fontId="0" fillId="4" borderId="1" xfId="0" applyNumberFormat="1" applyFill="1" applyBorder="1" applyAlignment="1">
      <alignment/>
    </xf>
    <xf numFmtId="170" fontId="6" fillId="0" borderId="0" xfId="0" applyNumberFormat="1" applyFont="1" applyBorder="1" applyAlignment="1">
      <alignment horizontal="center"/>
    </xf>
    <xf numFmtId="0" fontId="6" fillId="4" borderId="1" xfId="0" applyFont="1" applyFill="1" applyBorder="1" applyAlignment="1">
      <alignment/>
    </xf>
    <xf numFmtId="0" fontId="6" fillId="0" borderId="0" xfId="0" applyFont="1" applyBorder="1" applyAlignment="1">
      <alignment/>
    </xf>
    <xf numFmtId="3" fontId="6" fillId="4" borderId="1" xfId="0" applyNumberFormat="1" applyFont="1" applyFill="1" applyBorder="1" applyAlignment="1">
      <alignment/>
    </xf>
    <xf numFmtId="3" fontId="6" fillId="0" borderId="0" xfId="0" applyNumberFormat="1" applyFont="1" applyAlignment="1">
      <alignment/>
    </xf>
    <xf numFmtId="10" fontId="6" fillId="0" borderId="0" xfId="0" applyNumberFormat="1" applyFont="1" applyAlignment="1">
      <alignment/>
    </xf>
    <xf numFmtId="10" fontId="6" fillId="4" borderId="1" xfId="0" applyNumberFormat="1" applyFont="1" applyFill="1" applyBorder="1" applyAlignment="1">
      <alignment/>
    </xf>
    <xf numFmtId="0" fontId="0" fillId="0" borderId="1" xfId="0" applyBorder="1" applyAlignment="1">
      <alignment horizontal="left"/>
    </xf>
    <xf numFmtId="170" fontId="0" fillId="5" borderId="1" xfId="0" applyNumberFormat="1" applyFont="1" applyFill="1" applyBorder="1" applyAlignment="1">
      <alignment horizontal="center"/>
    </xf>
    <xf numFmtId="0" fontId="0" fillId="0" borderId="1" xfId="0" applyFill="1" applyBorder="1" applyAlignment="1">
      <alignment horizontal="center"/>
    </xf>
    <xf numFmtId="170" fontId="0" fillId="0" borderId="1" xfId="0" applyNumberFormat="1" applyFont="1" applyFill="1" applyBorder="1" applyAlignment="1">
      <alignment horizontal="center"/>
    </xf>
    <xf numFmtId="170" fontId="0" fillId="7" borderId="5" xfId="0" applyNumberFormat="1" applyFont="1" applyFill="1" applyBorder="1" applyAlignment="1">
      <alignment horizontal="right"/>
    </xf>
    <xf numFmtId="164" fontId="0" fillId="4" borderId="5" xfId="0" applyNumberFormat="1" applyFill="1" applyBorder="1" applyAlignment="1">
      <alignment/>
    </xf>
    <xf numFmtId="2" fontId="0" fillId="5" borderId="1" xfId="0" applyNumberFormat="1" applyFont="1" applyFill="1" applyBorder="1" applyAlignment="1">
      <alignment horizontal="center"/>
    </xf>
    <xf numFmtId="0" fontId="6" fillId="3" borderId="6" xfId="0" applyFont="1" applyFill="1" applyBorder="1" applyAlignment="1">
      <alignment horizontal="center"/>
    </xf>
    <xf numFmtId="0" fontId="6" fillId="8" borderId="7" xfId="0" applyFont="1" applyFill="1" applyBorder="1" applyAlignment="1">
      <alignment horizontal="center"/>
    </xf>
    <xf numFmtId="0" fontId="6" fillId="3" borderId="8" xfId="0" applyFont="1" applyFill="1" applyBorder="1" applyAlignment="1">
      <alignment horizontal="center"/>
    </xf>
    <xf numFmtId="0" fontId="9" fillId="7" borderId="9" xfId="0" applyFont="1" applyFill="1" applyBorder="1" applyAlignment="1">
      <alignment horizontal="center"/>
    </xf>
    <xf numFmtId="0" fontId="9" fillId="7" borderId="10" xfId="0" applyFont="1" applyFill="1" applyBorder="1" applyAlignment="1">
      <alignment horizontal="center"/>
    </xf>
    <xf numFmtId="0" fontId="9" fillId="7" borderId="11" xfId="0" applyFont="1" applyFill="1" applyBorder="1" applyAlignment="1">
      <alignment horizontal="center"/>
    </xf>
    <xf numFmtId="176" fontId="6" fillId="8" borderId="12" xfId="0" applyNumberFormat="1" applyFont="1" applyFill="1" applyBorder="1" applyAlignment="1">
      <alignment horizontal="center"/>
    </xf>
    <xf numFmtId="0" fontId="6" fillId="3" borderId="13" xfId="0" applyFont="1" applyFill="1" applyBorder="1" applyAlignment="1">
      <alignment horizontal="center"/>
    </xf>
    <xf numFmtId="170" fontId="9" fillId="0" borderId="14" xfId="0" applyNumberFormat="1" applyFont="1" applyBorder="1" applyAlignment="1">
      <alignment horizontal="center"/>
    </xf>
    <xf numFmtId="176" fontId="6" fillId="8" borderId="15" xfId="0" applyNumberFormat="1" applyFont="1" applyFill="1" applyBorder="1" applyAlignment="1">
      <alignment horizontal="center"/>
    </xf>
    <xf numFmtId="0" fontId="6" fillId="3" borderId="16" xfId="0" applyFont="1" applyFill="1" applyBorder="1" applyAlignment="1">
      <alignment horizontal="center"/>
    </xf>
    <xf numFmtId="170" fontId="6" fillId="4" borderId="1" xfId="0" applyNumberFormat="1" applyFont="1" applyFill="1" applyBorder="1" applyAlignment="1">
      <alignment/>
    </xf>
    <xf numFmtId="176" fontId="6" fillId="8" borderId="17" xfId="0" applyNumberFormat="1" applyFont="1" applyFill="1" applyBorder="1" applyAlignment="1">
      <alignment horizontal="center"/>
    </xf>
    <xf numFmtId="0" fontId="6" fillId="3" borderId="11" xfId="0" applyFont="1" applyFill="1" applyBorder="1" applyAlignment="1">
      <alignment horizontal="center"/>
    </xf>
    <xf numFmtId="0" fontId="9" fillId="0" borderId="0" xfId="0" applyFont="1" applyAlignment="1">
      <alignment/>
    </xf>
    <xf numFmtId="164" fontId="0" fillId="6" borderId="3" xfId="0" applyNumberFormat="1" applyFont="1" applyFill="1" applyBorder="1" applyAlignment="1">
      <alignment horizontal="center"/>
    </xf>
    <xf numFmtId="0" fontId="0" fillId="0" borderId="18" xfId="0" applyBorder="1" applyAlignment="1">
      <alignment horizontal="left"/>
    </xf>
    <xf numFmtId="1" fontId="0" fillId="4" borderId="18" xfId="0" applyNumberFormat="1" applyFill="1" applyBorder="1" applyAlignment="1">
      <alignment/>
    </xf>
    <xf numFmtId="1" fontId="0" fillId="5" borderId="18" xfId="0" applyNumberFormat="1" applyFill="1" applyBorder="1" applyAlignment="1">
      <alignment/>
    </xf>
    <xf numFmtId="2" fontId="0" fillId="4" borderId="1" xfId="0" applyNumberFormat="1" applyFill="1" applyBorder="1" applyAlignment="1">
      <alignment horizontal="center"/>
    </xf>
    <xf numFmtId="1" fontId="0" fillId="5" borderId="1" xfId="0" applyNumberFormat="1" applyFont="1" applyFill="1" applyBorder="1" applyAlignment="1">
      <alignment horizontal="center"/>
    </xf>
    <xf numFmtId="1" fontId="0" fillId="7" borderId="5" xfId="0" applyNumberFormat="1" applyFill="1" applyBorder="1" applyAlignment="1">
      <alignment/>
    </xf>
    <xf numFmtId="2" fontId="0" fillId="5" borderId="1" xfId="0" applyNumberFormat="1" applyFont="1" applyFill="1" applyBorder="1" applyAlignment="1">
      <alignment/>
    </xf>
    <xf numFmtId="0" fontId="0" fillId="0" borderId="0" xfId="0" applyFont="1" applyAlignment="1">
      <alignment/>
    </xf>
    <xf numFmtId="0" fontId="14" fillId="9" borderId="0" xfId="0" applyFont="1" applyFill="1" applyAlignment="1">
      <alignment/>
    </xf>
    <xf numFmtId="0" fontId="0" fillId="4" borderId="19" xfId="0" applyFill="1" applyBorder="1" applyAlignment="1">
      <alignment horizontal="center"/>
    </xf>
    <xf numFmtId="0" fontId="0" fillId="0" borderId="20" xfId="0" applyBorder="1" applyAlignment="1">
      <alignment horizontal="center"/>
    </xf>
    <xf numFmtId="164" fontId="0" fillId="5" borderId="19" xfId="0" applyNumberFormat="1" applyFont="1" applyFill="1" applyBorder="1" applyAlignment="1">
      <alignment horizontal="center"/>
    </xf>
    <xf numFmtId="2" fontId="0" fillId="7" borderId="1" xfId="0" applyNumberFormat="1" applyFill="1" applyBorder="1" applyAlignment="1">
      <alignment/>
    </xf>
    <xf numFmtId="164" fontId="0" fillId="7" borderId="1" xfId="0" applyNumberFormat="1" applyFill="1" applyBorder="1" applyAlignment="1">
      <alignment/>
    </xf>
    <xf numFmtId="0" fontId="10" fillId="0" borderId="0" xfId="0" applyFont="1" applyAlignment="1">
      <alignment/>
    </xf>
    <xf numFmtId="0" fontId="10" fillId="0" borderId="0" xfId="0" applyFont="1" applyFill="1" applyAlignment="1">
      <alignment/>
    </xf>
    <xf numFmtId="0" fontId="17" fillId="0" borderId="0" xfId="0" applyFont="1" applyAlignment="1">
      <alignment/>
    </xf>
    <xf numFmtId="0" fontId="17" fillId="0" borderId="0" xfId="0" applyFont="1" applyFill="1" applyAlignment="1">
      <alignment/>
    </xf>
    <xf numFmtId="0" fontId="0" fillId="9" borderId="0" xfId="0" applyFill="1" applyAlignment="1">
      <alignment/>
    </xf>
    <xf numFmtId="0" fontId="0" fillId="7" borderId="0" xfId="0" applyFont="1" applyFill="1" applyAlignment="1">
      <alignment/>
    </xf>
    <xf numFmtId="0" fontId="0" fillId="0" borderId="0" xfId="0" applyAlignment="1">
      <alignment horizontal="center"/>
    </xf>
    <xf numFmtId="0" fontId="18" fillId="0" borderId="2" xfId="0" applyFont="1" applyBorder="1" applyAlignment="1">
      <alignment horizontal="center"/>
    </xf>
    <xf numFmtId="0" fontId="9" fillId="0" borderId="2" xfId="0" applyFont="1" applyBorder="1" applyAlignment="1">
      <alignment horizontal="center"/>
    </xf>
    <xf numFmtId="0" fontId="13" fillId="3" borderId="0" xfId="0" applyFont="1" applyFill="1" applyAlignment="1">
      <alignment horizontal="center"/>
    </xf>
    <xf numFmtId="0" fontId="0" fillId="3" borderId="0" xfId="0" applyFill="1" applyAlignment="1">
      <alignment horizontal="center"/>
    </xf>
    <xf numFmtId="0" fontId="0" fillId="3" borderId="0" xfId="0" applyFont="1" applyFill="1" applyAlignment="1">
      <alignment horizontal="center"/>
    </xf>
    <xf numFmtId="0" fontId="0" fillId="0" borderId="2" xfId="0" applyBorder="1" applyAlignment="1">
      <alignment horizontal="center"/>
    </xf>
    <xf numFmtId="0" fontId="0" fillId="0" borderId="0" xfId="0" applyAlignment="1">
      <alignment horizontal="left"/>
    </xf>
    <xf numFmtId="0" fontId="0" fillId="0" borderId="21" xfId="0" applyBorder="1" applyAlignment="1">
      <alignment horizontal="left"/>
    </xf>
    <xf numFmtId="0" fontId="0" fillId="0" borderId="0" xfId="0" applyAlignment="1">
      <alignment horizontal="left" wrapText="1"/>
    </xf>
    <xf numFmtId="0" fontId="0" fillId="0" borderId="2" xfId="0" applyFill="1"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6" fillId="10" borderId="23" xfId="0" applyFont="1" applyFill="1" applyBorder="1" applyAlignment="1">
      <alignment horizontal="left"/>
    </xf>
    <xf numFmtId="0" fontId="6" fillId="10" borderId="24" xfId="0" applyFont="1" applyFill="1" applyBorder="1" applyAlignment="1">
      <alignment horizontal="left"/>
    </xf>
    <xf numFmtId="0" fontId="6" fillId="10" borderId="25" xfId="0" applyFont="1" applyFill="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6" fillId="0" borderId="25" xfId="0" applyFont="1" applyBorder="1" applyAlignment="1">
      <alignment horizontal="left"/>
    </xf>
    <xf numFmtId="0" fontId="6" fillId="11" borderId="23" xfId="0" applyFont="1" applyFill="1" applyBorder="1" applyAlignment="1">
      <alignment horizontal="left"/>
    </xf>
    <xf numFmtId="0" fontId="6" fillId="11" borderId="24" xfId="0" applyFont="1" applyFill="1" applyBorder="1" applyAlignment="1">
      <alignment horizontal="left"/>
    </xf>
    <xf numFmtId="0" fontId="6" fillId="11" borderId="25" xfId="0" applyFont="1" applyFill="1" applyBorder="1" applyAlignment="1">
      <alignment horizontal="left"/>
    </xf>
    <xf numFmtId="0" fontId="9" fillId="7" borderId="26" xfId="0" applyFont="1" applyFill="1" applyBorder="1" applyAlignment="1">
      <alignment horizontal="center"/>
    </xf>
    <xf numFmtId="0" fontId="9" fillId="7" borderId="27" xfId="0" applyFont="1" applyFill="1" applyBorder="1" applyAlignment="1">
      <alignment horizontal="center"/>
    </xf>
    <xf numFmtId="0" fontId="9" fillId="7" borderId="28" xfId="0" applyFont="1" applyFill="1" applyBorder="1" applyAlignment="1">
      <alignment horizontal="center"/>
    </xf>
    <xf numFmtId="0" fontId="15" fillId="0" borderId="0" xfId="0" applyFont="1" applyAlignment="1">
      <alignment horizontal="center"/>
    </xf>
    <xf numFmtId="0" fontId="16" fillId="0" borderId="0" xfId="0" applyFont="1" applyAlignment="1">
      <alignment horizontal="center"/>
    </xf>
    <xf numFmtId="0" fontId="14" fillId="9" borderId="0" xfId="0" applyFont="1" applyFill="1" applyAlignment="1" quotePrefix="1">
      <alignment horizontal="center"/>
    </xf>
  </cellXfs>
  <cellStyles count="6">
    <cellStyle name="Normal" xfId="0"/>
    <cellStyle name="Comma" xfId="15"/>
    <cellStyle name="Comma [0]" xfId="16"/>
    <cellStyle name="Currency" xfId="17"/>
    <cellStyle name="Currency [0]" xfId="18"/>
    <cellStyle name="Percent" xfId="19"/>
  </cellStyles>
  <dxfs count="3">
    <dxf>
      <fill>
        <patternFill>
          <bgColor rgb="FFFF0000"/>
        </patternFill>
      </fill>
      <border/>
    </dxf>
    <dxf>
      <fill>
        <patternFill>
          <bgColor rgb="FFC0C0C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88</xdr:row>
      <xdr:rowOff>0</xdr:rowOff>
    </xdr:from>
    <xdr:ext cx="104775" cy="200025"/>
    <xdr:sp>
      <xdr:nvSpPr>
        <xdr:cNvPr id="1" name="TextBox 14"/>
        <xdr:cNvSpPr txBox="1">
          <a:spLocks noChangeArrowheads="1"/>
        </xdr:cNvSpPr>
      </xdr:nvSpPr>
      <xdr:spPr>
        <a:xfrm>
          <a:off x="6696075" y="14878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219075</xdr:colOff>
      <xdr:row>88</xdr:row>
      <xdr:rowOff>0</xdr:rowOff>
    </xdr:from>
    <xdr:ext cx="95250" cy="200025"/>
    <xdr:sp>
      <xdr:nvSpPr>
        <xdr:cNvPr id="2" name="TextBox 15"/>
        <xdr:cNvSpPr txBox="1">
          <a:spLocks noChangeArrowheads="1"/>
        </xdr:cNvSpPr>
      </xdr:nvSpPr>
      <xdr:spPr>
        <a:xfrm>
          <a:off x="7705725" y="148780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xdr:col>
      <xdr:colOff>0</xdr:colOff>
      <xdr:row>76</xdr:row>
      <xdr:rowOff>0</xdr:rowOff>
    </xdr:from>
    <xdr:to>
      <xdr:col>9</xdr:col>
      <xdr:colOff>152400</xdr:colOff>
      <xdr:row>86</xdr:row>
      <xdr:rowOff>85725</xdr:rowOff>
    </xdr:to>
    <xdr:pic>
      <xdr:nvPicPr>
        <xdr:cNvPr id="3" name="Picture 25"/>
        <xdr:cNvPicPr preferRelativeResize="1">
          <a:picLocks noChangeAspect="1"/>
        </xdr:cNvPicPr>
      </xdr:nvPicPr>
      <xdr:blipFill>
        <a:blip r:embed="rId1"/>
        <a:srcRect b="42262"/>
        <a:stretch>
          <a:fillRect/>
        </a:stretch>
      </xdr:blipFill>
      <xdr:spPr>
        <a:xfrm>
          <a:off x="847725" y="12934950"/>
          <a:ext cx="4886325" cy="1704975"/>
        </a:xfrm>
        <a:prstGeom prst="rect">
          <a:avLst/>
        </a:prstGeom>
        <a:noFill/>
        <a:ln w="9525" cmpd="sng">
          <a:noFill/>
        </a:ln>
      </xdr:spPr>
    </xdr:pic>
    <xdr:clientData/>
  </xdr:twoCellAnchor>
  <xdr:twoCellAnchor editAs="oneCell">
    <xdr:from>
      <xdr:col>0</xdr:col>
      <xdr:colOff>0</xdr:colOff>
      <xdr:row>1</xdr:row>
      <xdr:rowOff>19050</xdr:rowOff>
    </xdr:from>
    <xdr:to>
      <xdr:col>1</xdr:col>
      <xdr:colOff>371475</xdr:colOff>
      <xdr:row>9</xdr:row>
      <xdr:rowOff>114300</xdr:rowOff>
    </xdr:to>
    <xdr:pic>
      <xdr:nvPicPr>
        <xdr:cNvPr id="4" name="Picture 45"/>
        <xdr:cNvPicPr preferRelativeResize="1">
          <a:picLocks noChangeAspect="1"/>
        </xdr:cNvPicPr>
      </xdr:nvPicPr>
      <xdr:blipFill>
        <a:blip r:embed="rId2"/>
        <a:stretch>
          <a:fillRect/>
        </a:stretch>
      </xdr:blipFill>
      <xdr:spPr>
        <a:xfrm>
          <a:off x="0" y="200025"/>
          <a:ext cx="1219200"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533400</xdr:colOff>
      <xdr:row>9</xdr:row>
      <xdr:rowOff>123825</xdr:rowOff>
    </xdr:to>
    <xdr:pic>
      <xdr:nvPicPr>
        <xdr:cNvPr id="1" name="Picture 23"/>
        <xdr:cNvPicPr preferRelativeResize="1">
          <a:picLocks noChangeAspect="1"/>
        </xdr:cNvPicPr>
      </xdr:nvPicPr>
      <xdr:blipFill>
        <a:blip r:embed="rId1"/>
        <a:stretch>
          <a:fillRect/>
        </a:stretch>
      </xdr:blipFill>
      <xdr:spPr>
        <a:xfrm>
          <a:off x="0" y="0"/>
          <a:ext cx="209550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T109"/>
  <sheetViews>
    <sheetView tabSelected="1" zoomScale="75" zoomScaleNormal="75" workbookViewId="0" topLeftCell="A1">
      <selection activeCell="G92" sqref="G92"/>
    </sheetView>
  </sheetViews>
  <sheetFormatPr defaultColWidth="9.140625" defaultRowHeight="12.75"/>
  <cols>
    <col min="1" max="1" width="12.7109375" style="0" customWidth="1"/>
    <col min="2" max="2" width="9.7109375" style="0" customWidth="1"/>
    <col min="3" max="3" width="8.57421875" style="0" customWidth="1"/>
    <col min="4" max="4" width="8.421875" style="0" customWidth="1"/>
    <col min="5" max="5" width="8.140625" style="0" customWidth="1"/>
    <col min="6" max="6" width="8.7109375" style="0" customWidth="1"/>
    <col min="7" max="7" width="9.57421875" style="0" customWidth="1"/>
    <col min="9" max="10" width="8.7109375" style="0" customWidth="1"/>
    <col min="11" max="11" width="8.00390625" style="0" customWidth="1"/>
    <col min="12" max="12" width="11.8515625" style="0" customWidth="1"/>
  </cols>
  <sheetData>
    <row r="1" spans="1:20" ht="14.25">
      <c r="A1" s="103" t="s">
        <v>76</v>
      </c>
      <c r="B1" s="103"/>
      <c r="C1" s="103"/>
      <c r="D1" s="103"/>
      <c r="E1" s="103"/>
      <c r="F1" s="103"/>
      <c r="G1" s="103"/>
      <c r="H1" s="103"/>
      <c r="I1" s="103"/>
      <c r="J1" s="103"/>
      <c r="K1" s="103"/>
      <c r="M1" s="94"/>
      <c r="N1" s="92"/>
      <c r="O1" s="92"/>
      <c r="P1" s="92"/>
      <c r="Q1" s="92"/>
      <c r="R1" s="92"/>
      <c r="S1" s="92"/>
      <c r="T1" s="92"/>
    </row>
    <row r="2" spans="4:20" ht="14.25">
      <c r="D2" s="2"/>
      <c r="E2" s="2"/>
      <c r="M2" s="94"/>
      <c r="N2" s="92"/>
      <c r="O2" s="92"/>
      <c r="P2" s="92"/>
      <c r="Q2" s="92"/>
      <c r="R2" s="92"/>
      <c r="S2" s="92"/>
      <c r="T2" s="92"/>
    </row>
    <row r="3" spans="3:20" ht="15" thickBot="1">
      <c r="C3" s="104" t="s">
        <v>131</v>
      </c>
      <c r="D3" s="104"/>
      <c r="E3" s="104"/>
      <c r="G3" s="104" t="s">
        <v>117</v>
      </c>
      <c r="H3" s="104"/>
      <c r="I3" s="104"/>
      <c r="M3" s="94"/>
      <c r="N3" s="92"/>
      <c r="O3" s="92"/>
      <c r="P3" s="92"/>
      <c r="Q3" s="92"/>
      <c r="R3" s="92"/>
      <c r="S3" s="92"/>
      <c r="T3" s="92"/>
    </row>
    <row r="4" spans="13:20" ht="15" thickTop="1">
      <c r="M4" s="94"/>
      <c r="N4" s="92"/>
      <c r="O4" s="92"/>
      <c r="P4" s="92"/>
      <c r="Q4" s="92"/>
      <c r="R4" s="92"/>
      <c r="S4" s="92"/>
      <c r="T4" s="92"/>
    </row>
    <row r="5" spans="3:20" ht="14.25">
      <c r="C5" t="s">
        <v>109</v>
      </c>
      <c r="D5" s="14">
        <v>18</v>
      </c>
      <c r="E5" t="s">
        <v>14</v>
      </c>
      <c r="G5" s="2" t="s">
        <v>120</v>
      </c>
      <c r="H5" s="14">
        <v>22</v>
      </c>
      <c r="I5" t="s">
        <v>14</v>
      </c>
      <c r="M5" s="94"/>
      <c r="N5" s="92"/>
      <c r="O5" s="92"/>
      <c r="P5" s="92"/>
      <c r="Q5" s="92"/>
      <c r="R5" s="92"/>
      <c r="S5" s="92"/>
      <c r="T5" s="92"/>
    </row>
    <row r="6" spans="3:20" ht="14.25">
      <c r="C6" t="s">
        <v>108</v>
      </c>
      <c r="D6" s="14">
        <v>3.5</v>
      </c>
      <c r="E6" t="s">
        <v>118</v>
      </c>
      <c r="G6" s="2" t="s">
        <v>119</v>
      </c>
      <c r="H6" s="46">
        <f>(25.4*H5)/9</f>
        <v>62.08888888888888</v>
      </c>
      <c r="I6" t="s">
        <v>63</v>
      </c>
      <c r="M6" s="94"/>
      <c r="N6" s="92"/>
      <c r="O6" s="92"/>
      <c r="P6" s="92"/>
      <c r="Q6" s="92"/>
      <c r="R6" s="92"/>
      <c r="S6" s="92"/>
      <c r="T6" s="92"/>
    </row>
    <row r="7" spans="3:20" ht="14.25">
      <c r="C7" s="77" t="s">
        <v>67</v>
      </c>
      <c r="D7" s="17">
        <f>(1+(0.2781-($D$6/($D$5+$D$6))))*2.8*SQRT(PI()*$D$5*$D$6/4)</f>
        <v>21.9668897949563</v>
      </c>
      <c r="E7" t="s">
        <v>63</v>
      </c>
      <c r="M7" s="94"/>
      <c r="N7" s="92"/>
      <c r="O7" s="92"/>
      <c r="P7" s="92"/>
      <c r="Q7" s="92"/>
      <c r="R7" s="92"/>
      <c r="S7" s="92"/>
      <c r="T7" s="92"/>
    </row>
    <row r="8" spans="13:20" ht="15" thickBot="1">
      <c r="M8" s="94"/>
      <c r="N8" s="92"/>
      <c r="O8" s="92"/>
      <c r="P8" s="92"/>
      <c r="Q8" s="92"/>
      <c r="R8" s="92"/>
      <c r="S8" s="92"/>
      <c r="T8" s="92"/>
    </row>
    <row r="9" spans="3:20" ht="15.75" thickBot="1" thickTop="1">
      <c r="C9" s="88" t="s">
        <v>126</v>
      </c>
      <c r="D9" s="87" t="s">
        <v>127</v>
      </c>
      <c r="E9" s="2"/>
      <c r="F9" s="2"/>
      <c r="G9" s="88" t="s">
        <v>129</v>
      </c>
      <c r="H9" s="89" t="s">
        <v>128</v>
      </c>
      <c r="M9" s="94"/>
      <c r="N9" s="92"/>
      <c r="O9" s="92"/>
      <c r="P9" s="92"/>
      <c r="Q9" s="92"/>
      <c r="R9" s="92"/>
      <c r="S9" s="92"/>
      <c r="T9" s="92"/>
    </row>
    <row r="10" spans="13:20" ht="15" thickTop="1">
      <c r="M10" s="94"/>
      <c r="N10" s="92"/>
      <c r="O10" s="92"/>
      <c r="P10" s="92"/>
      <c r="Q10" s="92"/>
      <c r="R10" s="92"/>
      <c r="S10" s="92"/>
      <c r="T10" s="92"/>
    </row>
    <row r="11" spans="1:20" ht="14.25" customHeight="1">
      <c r="A11" s="102" t="s">
        <v>111</v>
      </c>
      <c r="B11" s="102"/>
      <c r="C11" s="102"/>
      <c r="D11" s="102"/>
      <c r="E11" s="102"/>
      <c r="F11" s="102"/>
      <c r="G11" s="102"/>
      <c r="H11" s="102"/>
      <c r="I11" s="102"/>
      <c r="J11" s="102"/>
      <c r="K11" s="102"/>
      <c r="M11" s="94"/>
      <c r="N11" s="92"/>
      <c r="O11" s="92"/>
      <c r="P11" s="92"/>
      <c r="Q11" s="92"/>
      <c r="R11" s="92"/>
      <c r="S11" s="92"/>
      <c r="T11" s="92"/>
    </row>
    <row r="12" spans="1:20" s="11" customFormat="1" ht="14.25" customHeight="1">
      <c r="A12" s="34"/>
      <c r="B12" s="34"/>
      <c r="C12" s="34"/>
      <c r="D12" s="34"/>
      <c r="E12" s="34"/>
      <c r="F12" s="34"/>
      <c r="G12" s="34"/>
      <c r="H12" s="34"/>
      <c r="I12" s="34"/>
      <c r="J12" s="34"/>
      <c r="K12" s="34"/>
      <c r="M12" s="95"/>
      <c r="N12"/>
      <c r="O12"/>
      <c r="P12"/>
      <c r="Q12"/>
      <c r="R12" s="93"/>
      <c r="S12" s="93"/>
      <c r="T12" s="93"/>
    </row>
    <row r="13" spans="1:20" ht="14.25">
      <c r="A13" s="42" t="s">
        <v>77</v>
      </c>
      <c r="B13" s="40"/>
      <c r="C13" s="40"/>
      <c r="D13" s="38"/>
      <c r="M13" s="94"/>
      <c r="R13" s="92"/>
      <c r="S13" s="92"/>
      <c r="T13" s="92"/>
    </row>
    <row r="14" spans="13:20" ht="14.25">
      <c r="M14" s="94"/>
      <c r="R14" s="92"/>
      <c r="S14" s="92"/>
      <c r="T14" s="92"/>
    </row>
    <row r="15" spans="1:20" ht="14.25">
      <c r="A15" s="4" t="s">
        <v>81</v>
      </c>
      <c r="B15" s="47">
        <v>6.25</v>
      </c>
      <c r="C15" t="s">
        <v>14</v>
      </c>
      <c r="D15" s="4" t="s">
        <v>59</v>
      </c>
      <c r="F15" s="27">
        <f>1/B17</f>
        <v>37.03703703703704</v>
      </c>
      <c r="H15" s="109" t="s">
        <v>107</v>
      </c>
      <c r="I15" s="109"/>
      <c r="J15" s="109"/>
      <c r="K15" s="109"/>
      <c r="M15" s="94"/>
      <c r="R15" s="92"/>
      <c r="S15" s="92"/>
      <c r="T15" s="92"/>
    </row>
    <row r="16" spans="1:20" ht="14.25">
      <c r="A16" s="4" t="s">
        <v>97</v>
      </c>
      <c r="B16" s="16">
        <v>25</v>
      </c>
      <c r="C16" t="s">
        <v>14</v>
      </c>
      <c r="D16" s="37" t="s">
        <v>140</v>
      </c>
      <c r="E16" s="3"/>
      <c r="F16" s="15">
        <f>B16*F15</f>
        <v>925.925925925926</v>
      </c>
      <c r="H16" s="78" t="s">
        <v>15</v>
      </c>
      <c r="I16" s="79">
        <v>22</v>
      </c>
      <c r="J16" s="78" t="s">
        <v>15</v>
      </c>
      <c r="K16" s="80">
        <f>LN(K17/0.32463)*1/-0.1159</f>
        <v>23.62522549204697</v>
      </c>
      <c r="M16" s="94"/>
      <c r="R16" s="92"/>
      <c r="S16" s="92"/>
      <c r="T16" s="92"/>
    </row>
    <row r="17" spans="1:20" ht="14.25">
      <c r="A17" t="s">
        <v>84</v>
      </c>
      <c r="B17" s="47">
        <v>0.027</v>
      </c>
      <c r="C17" t="s">
        <v>14</v>
      </c>
      <c r="D17" s="37" t="s">
        <v>83</v>
      </c>
      <c r="E17" s="3"/>
      <c r="F17" s="15">
        <f>(F16*B15*PI())/12</f>
        <v>1515.0427534673</v>
      </c>
      <c r="H17" s="55" t="s">
        <v>82</v>
      </c>
      <c r="I17" s="18">
        <f>0.32463*(2.71828^(-0.1159*I16))</f>
        <v>0.02535276475443555</v>
      </c>
      <c r="J17" s="55" t="s">
        <v>82</v>
      </c>
      <c r="K17" s="47">
        <v>0.021</v>
      </c>
      <c r="M17" s="94"/>
      <c r="R17" s="92"/>
      <c r="S17" s="92"/>
      <c r="T17" s="92"/>
    </row>
    <row r="18" spans="4:20" ht="14.25">
      <c r="D18" s="37" t="s">
        <v>73</v>
      </c>
      <c r="F18" s="46">
        <f>B16/B15</f>
        <v>4</v>
      </c>
      <c r="H18" s="110" t="s">
        <v>124</v>
      </c>
      <c r="I18" s="110"/>
      <c r="J18" s="110"/>
      <c r="K18" s="110"/>
      <c r="M18" s="94"/>
      <c r="R18" s="92"/>
      <c r="S18" s="92"/>
      <c r="T18" s="92"/>
    </row>
    <row r="19" spans="4:20" ht="14.25">
      <c r="D19" s="3"/>
      <c r="M19" s="94"/>
      <c r="N19" s="92"/>
      <c r="O19" s="92"/>
      <c r="P19" s="92"/>
      <c r="Q19" s="92"/>
      <c r="R19" s="92"/>
      <c r="S19" s="92"/>
      <c r="T19" s="92"/>
    </row>
    <row r="20" spans="1:20" ht="14.25">
      <c r="A20" s="42" t="s">
        <v>78</v>
      </c>
      <c r="B20" s="41"/>
      <c r="C20" s="41"/>
      <c r="M20" s="94"/>
      <c r="N20" s="92"/>
      <c r="O20" s="92"/>
      <c r="P20" s="92"/>
      <c r="Q20" s="92"/>
      <c r="R20" s="92"/>
      <c r="S20" s="92"/>
      <c r="T20" s="92"/>
    </row>
    <row r="21" spans="13:20" ht="14.25">
      <c r="M21" s="94"/>
      <c r="N21" s="92"/>
      <c r="O21" s="92"/>
      <c r="P21" s="92"/>
      <c r="Q21" s="92"/>
      <c r="R21" s="92"/>
      <c r="S21" s="92"/>
      <c r="T21" s="92"/>
    </row>
    <row r="22" spans="1:20" ht="15" thickBot="1">
      <c r="A22" s="104" t="s">
        <v>74</v>
      </c>
      <c r="B22" s="104"/>
      <c r="C22" s="104"/>
      <c r="D22" s="104"/>
      <c r="F22" s="108" t="s">
        <v>75</v>
      </c>
      <c r="G22" s="108"/>
      <c r="H22" s="108"/>
      <c r="I22" s="108"/>
      <c r="M22" s="94"/>
      <c r="N22" s="92"/>
      <c r="O22" s="92"/>
      <c r="P22" s="92"/>
      <c r="Q22" s="92"/>
      <c r="R22" s="92"/>
      <c r="S22" s="92"/>
      <c r="T22" s="92"/>
    </row>
    <row r="23" spans="1:20" ht="15" thickTop="1">
      <c r="A23" s="4" t="s">
        <v>60</v>
      </c>
      <c r="B23" s="46">
        <f>((((B15/2)^2)*(F16^2))/((9*(B15/2))+(10*B16)))*0.001</f>
        <v>30.10318891509071</v>
      </c>
      <c r="C23" t="s">
        <v>61</v>
      </c>
      <c r="F23" t="s">
        <v>67</v>
      </c>
      <c r="G23" s="46">
        <f>VLOOKUP(F18,Medhurst!A5:B75,2)*($B$15)*(2.54)</f>
        <v>11.43</v>
      </c>
      <c r="H23" t="s">
        <v>80</v>
      </c>
      <c r="I23" s="59">
        <f>VLOOKUP(F18,Medhurst!A5:B75,2)</f>
        <v>0.72</v>
      </c>
      <c r="M23" s="94"/>
      <c r="N23" s="92"/>
      <c r="O23" s="92"/>
      <c r="P23" s="92"/>
      <c r="Q23" s="92"/>
      <c r="R23" s="92"/>
      <c r="S23" s="92"/>
      <c r="T23" s="92"/>
    </row>
    <row r="24" spans="1:20" ht="14.25">
      <c r="A24" s="4"/>
      <c r="B24" s="46">
        <f>B23/B16</f>
        <v>1.2041275566036282</v>
      </c>
      <c r="C24" t="s">
        <v>93</v>
      </c>
      <c r="M24" s="94"/>
      <c r="N24" s="92"/>
      <c r="O24" s="92"/>
      <c r="P24" s="92"/>
      <c r="Q24" s="92"/>
      <c r="R24" s="92"/>
      <c r="S24" s="92"/>
      <c r="T24" s="92"/>
    </row>
    <row r="25" spans="13:20" ht="14.25">
      <c r="M25" s="94"/>
      <c r="N25" s="92"/>
      <c r="O25" s="92"/>
      <c r="P25" s="92"/>
      <c r="Q25" s="92"/>
      <c r="R25" s="92"/>
      <c r="S25" s="92"/>
      <c r="T25" s="92"/>
    </row>
    <row r="26" spans="1:20" ht="15" thickBot="1">
      <c r="A26" s="108" t="s">
        <v>1</v>
      </c>
      <c r="B26" s="108"/>
      <c r="C26" s="108"/>
      <c r="D26" s="108"/>
      <c r="F26" s="33" t="s">
        <v>56</v>
      </c>
      <c r="G26" s="33"/>
      <c r="H26" s="33"/>
      <c r="I26" s="33"/>
      <c r="M26" s="94"/>
      <c r="N26" s="92"/>
      <c r="O26" s="92"/>
      <c r="P26" s="92"/>
      <c r="Q26" s="92"/>
      <c r="R26" s="92"/>
      <c r="S26" s="92"/>
      <c r="T26" s="92"/>
    </row>
    <row r="27" spans="1:20" ht="15" thickTop="1">
      <c r="A27" s="36" t="s">
        <v>2</v>
      </c>
      <c r="B27" s="17">
        <f>(1/((2*PI())*(SQRT(B23*0.001*G23*0.000000000001)))/1000)</f>
        <v>271.32559521861515</v>
      </c>
      <c r="C27" s="7" t="s">
        <v>64</v>
      </c>
      <c r="D27" s="43" t="s">
        <v>3</v>
      </c>
      <c r="F27" t="s">
        <v>99</v>
      </c>
      <c r="H27" s="60">
        <v>22</v>
      </c>
      <c r="I27" t="s">
        <v>63</v>
      </c>
      <c r="J27" t="s">
        <v>141</v>
      </c>
      <c r="M27" s="94"/>
      <c r="N27" s="92"/>
      <c r="O27" s="92"/>
      <c r="P27" s="92"/>
      <c r="Q27" s="92"/>
      <c r="R27" s="92"/>
      <c r="S27" s="92"/>
      <c r="T27" s="92"/>
    </row>
    <row r="28" spans="1:9" ht="12.75">
      <c r="A28" s="36" t="s">
        <v>2</v>
      </c>
      <c r="B28" s="17">
        <f>(1/((2*PI())*(SQRT(B23*0.001*H29*0.000000000001)))/1000)</f>
        <v>158.6520511571622</v>
      </c>
      <c r="C28" s="7" t="s">
        <v>64</v>
      </c>
      <c r="D28" s="43" t="s">
        <v>4</v>
      </c>
      <c r="F28" s="13" t="s">
        <v>55</v>
      </c>
      <c r="H28" s="27">
        <f>G23</f>
        <v>11.43</v>
      </c>
      <c r="I28" t="s">
        <v>63</v>
      </c>
    </row>
    <row r="29" spans="5:9" ht="12.75">
      <c r="E29" s="11"/>
      <c r="F29" t="s">
        <v>5</v>
      </c>
      <c r="H29" s="27">
        <f>(G23+H27)</f>
        <v>33.43</v>
      </c>
      <c r="I29" t="s">
        <v>63</v>
      </c>
    </row>
    <row r="30" spans="5:8" ht="12.75">
      <c r="E30" s="11"/>
      <c r="H30" s="44"/>
    </row>
    <row r="31" spans="1:11" ht="12.75">
      <c r="A31" s="102" t="s">
        <v>112</v>
      </c>
      <c r="B31" s="102"/>
      <c r="C31" s="102"/>
      <c r="D31" s="102"/>
      <c r="E31" s="102"/>
      <c r="F31" s="102"/>
      <c r="G31" s="102"/>
      <c r="H31" s="102"/>
      <c r="I31" s="102"/>
      <c r="J31" s="102"/>
      <c r="K31" s="12"/>
    </row>
    <row r="32" ht="12.75">
      <c r="B32" s="45"/>
    </row>
    <row r="33" spans="1:2" ht="12.75">
      <c r="A33" s="45" t="s">
        <v>94</v>
      </c>
      <c r="B33" s="45"/>
    </row>
    <row r="35" spans="1:6" ht="12.75">
      <c r="A35" s="105" t="s">
        <v>23</v>
      </c>
      <c r="B35" s="105"/>
      <c r="C35" s="106"/>
      <c r="D35" s="57" t="s">
        <v>26</v>
      </c>
      <c r="E35" s="22">
        <v>12000</v>
      </c>
      <c r="F35" t="s">
        <v>68</v>
      </c>
    </row>
    <row r="36" spans="1:6" ht="12.75">
      <c r="A36" s="105" t="s">
        <v>22</v>
      </c>
      <c r="B36" s="105"/>
      <c r="C36" s="106"/>
      <c r="D36" s="57" t="s">
        <v>27</v>
      </c>
      <c r="E36" s="21">
        <v>200</v>
      </c>
      <c r="F36" t="s">
        <v>69</v>
      </c>
    </row>
    <row r="37" spans="1:6" ht="12.75">
      <c r="A37" s="105" t="s">
        <v>24</v>
      </c>
      <c r="B37" s="105"/>
      <c r="C37" s="106"/>
      <c r="D37" s="57" t="s">
        <v>28</v>
      </c>
      <c r="E37" s="21">
        <v>60</v>
      </c>
      <c r="F37" t="s">
        <v>70</v>
      </c>
    </row>
    <row r="38" spans="1:9" ht="12.75">
      <c r="A38" s="105" t="s">
        <v>125</v>
      </c>
      <c r="B38" s="105"/>
      <c r="C38" s="106"/>
      <c r="D38" s="58" t="s">
        <v>95</v>
      </c>
      <c r="E38" s="56">
        <f>(1/((2*PI()*E37*(E35/(E36/1000))))*10^6)</f>
        <v>0.04420970641441537</v>
      </c>
      <c r="F38" s="29" t="s">
        <v>66</v>
      </c>
      <c r="G38" t="s">
        <v>136</v>
      </c>
      <c r="H38" s="90">
        <f>0.5*(E38*0.000001)*1.4*E35^2</f>
        <v>4.45633840657307</v>
      </c>
      <c r="I38" t="s">
        <v>137</v>
      </c>
    </row>
    <row r="40" ht="12.75">
      <c r="A40" s="45" t="s">
        <v>134</v>
      </c>
    </row>
    <row r="42" spans="1:6" ht="12.75">
      <c r="A42" s="105" t="s">
        <v>110</v>
      </c>
      <c r="B42" s="105"/>
      <c r="C42" s="106"/>
      <c r="D42" s="58" t="s">
        <v>95</v>
      </c>
      <c r="E42" s="21">
        <v>0.036</v>
      </c>
      <c r="F42" s="29" t="s">
        <v>66</v>
      </c>
    </row>
    <row r="43" spans="1:6" ht="12.75">
      <c r="A43" s="105" t="s">
        <v>98</v>
      </c>
      <c r="B43" s="105"/>
      <c r="C43" s="106"/>
      <c r="D43" s="58" t="s">
        <v>96</v>
      </c>
      <c r="E43" s="61">
        <f>1000000/(4*PI()^2*(B28*1000)^2*(E42*0.000001))</f>
        <v>27.95415570643007</v>
      </c>
      <c r="F43" s="29" t="s">
        <v>62</v>
      </c>
    </row>
    <row r="44" spans="4:6" ht="12.75">
      <c r="D44" s="35"/>
      <c r="F44" s="29"/>
    </row>
    <row r="45" ht="12.75">
      <c r="A45" s="45" t="s">
        <v>77</v>
      </c>
    </row>
    <row r="46" ht="12.75">
      <c r="A46" s="45"/>
    </row>
    <row r="47" spans="1:10" ht="13.5" thickBot="1">
      <c r="A47" t="s">
        <v>19</v>
      </c>
      <c r="D47" s="9" t="s">
        <v>6</v>
      </c>
      <c r="E47" s="19">
        <v>4.875</v>
      </c>
      <c r="F47" t="s">
        <v>14</v>
      </c>
      <c r="G47" s="99" t="s">
        <v>123</v>
      </c>
      <c r="H47" s="100"/>
      <c r="I47" s="100"/>
      <c r="J47" s="100"/>
    </row>
    <row r="48" spans="1:10" ht="13.5" thickTop="1">
      <c r="A48" t="s">
        <v>7</v>
      </c>
      <c r="D48" s="9" t="s">
        <v>8</v>
      </c>
      <c r="E48" s="19">
        <v>10</v>
      </c>
      <c r="F48" t="s">
        <v>79</v>
      </c>
      <c r="G48" s="98" t="s">
        <v>122</v>
      </c>
      <c r="H48" s="98"/>
      <c r="I48" s="98"/>
      <c r="J48" s="83">
        <f>B28</f>
        <v>158.6520511571622</v>
      </c>
    </row>
    <row r="49" spans="1:10" ht="12.75">
      <c r="A49" t="s">
        <v>16</v>
      </c>
      <c r="D49" s="9" t="s">
        <v>18</v>
      </c>
      <c r="E49" s="19">
        <v>0</v>
      </c>
      <c r="F49" t="s">
        <v>65</v>
      </c>
      <c r="G49" s="98" t="s">
        <v>121</v>
      </c>
      <c r="H49" s="98"/>
      <c r="I49" s="98"/>
      <c r="J49" s="91">
        <f>1000/((2*PI())*(SQRT(E56*E42)))</f>
        <v>121.48430507979631</v>
      </c>
    </row>
    <row r="50" spans="1:6" ht="12.75">
      <c r="A50" t="s">
        <v>38</v>
      </c>
      <c r="D50" s="9" t="s">
        <v>39</v>
      </c>
      <c r="E50" s="20">
        <v>0.25</v>
      </c>
      <c r="F50" t="s">
        <v>14</v>
      </c>
    </row>
    <row r="51" spans="1:6" ht="12.75">
      <c r="A51" t="s">
        <v>40</v>
      </c>
      <c r="D51" s="9" t="s">
        <v>41</v>
      </c>
      <c r="E51" s="19">
        <v>0.25</v>
      </c>
      <c r="F51" t="s">
        <v>14</v>
      </c>
    </row>
    <row r="52" spans="1:6" ht="12.75">
      <c r="A52" t="s">
        <v>52</v>
      </c>
      <c r="D52" s="9" t="s">
        <v>9</v>
      </c>
      <c r="E52" s="28">
        <f>(E48-1)*(SIN(E49*PI()/180))*(E50+E51)+(E50)</f>
        <v>0.25</v>
      </c>
      <c r="F52" t="s">
        <v>14</v>
      </c>
    </row>
    <row r="53" spans="1:6" ht="12.75">
      <c r="A53" t="s">
        <v>20</v>
      </c>
      <c r="D53" s="9" t="s">
        <v>17</v>
      </c>
      <c r="E53" s="28">
        <f>(E48-1)*(COS(E49*PI()/180))*(E50+E51)+(E50)</f>
        <v>4.75</v>
      </c>
      <c r="F53" t="s">
        <v>14</v>
      </c>
    </row>
    <row r="54" spans="1:6" ht="12.75">
      <c r="A54" t="s">
        <v>53</v>
      </c>
      <c r="D54" s="9" t="s">
        <v>54</v>
      </c>
      <c r="E54" s="28">
        <f>SQRT(E52^2+E53^2)</f>
        <v>4.756574397610112</v>
      </c>
      <c r="F54" t="s">
        <v>14</v>
      </c>
    </row>
    <row r="55" ht="12.75">
      <c r="H55" s="7"/>
    </row>
    <row r="56" spans="1:6" ht="12.75">
      <c r="A56" t="s">
        <v>10</v>
      </c>
      <c r="D56" t="s">
        <v>0</v>
      </c>
      <c r="E56" s="26">
        <f>SQRT(((((((E47+(E53/2))^2)*(E48^2))/((9*(E47+(E53/2)))+(10*E52)))*SIN((E49*PI())/180))^2)+((((((E47+(E53/2))^2)*(E48^2))/((8*(E47+(E53/2)))+(11*E53)))*COS((E49*PI())/180))^2))</f>
        <v>47.67573696145125</v>
      </c>
      <c r="F56" s="31" t="s">
        <v>62</v>
      </c>
    </row>
    <row r="57" spans="7:8" ht="12.75">
      <c r="G57" s="7"/>
      <c r="H57" s="8"/>
    </row>
    <row r="58" spans="2:10" ht="12.75">
      <c r="B58" t="s">
        <v>45</v>
      </c>
      <c r="D58" t="s">
        <v>44</v>
      </c>
      <c r="F58" t="s">
        <v>44</v>
      </c>
      <c r="H58" s="10" t="s">
        <v>47</v>
      </c>
      <c r="J58" t="s">
        <v>43</v>
      </c>
    </row>
    <row r="59" spans="1:10" ht="12.75">
      <c r="A59" t="s">
        <v>37</v>
      </c>
      <c r="B59" t="s">
        <v>50</v>
      </c>
      <c r="D59" t="s">
        <v>42</v>
      </c>
      <c r="F59" t="s">
        <v>49</v>
      </c>
      <c r="H59" t="s">
        <v>46</v>
      </c>
      <c r="J59" t="s">
        <v>48</v>
      </c>
    </row>
    <row r="60" spans="1:10" ht="12.75">
      <c r="A60">
        <v>1</v>
      </c>
      <c r="B60" s="84">
        <f>SQRT((((((($E$47+($E$53/2))^2)*(A60^2))/((9*($E$47+($E$53/2)))+(10*$E$52)))*SIN(($E$49*PI())/180))^2)+(((((($E$47+($E$53/2))^2)*(A60^2))/((8*($E$47+($E$53/2)))+(11*$E$53)))*COS(($E$49*PI())/180))^2))</f>
        <v>0.4767573696145125</v>
      </c>
      <c r="C60" s="85"/>
      <c r="D60" s="84">
        <f>(2*E47)+(2*E50)</f>
        <v>10.25</v>
      </c>
      <c r="F60" s="25">
        <f>E50</f>
        <v>0.25</v>
      </c>
      <c r="H60" s="17">
        <f aca="true" t="shared" si="0" ref="H60:H75">PI()*$D60</f>
        <v>32.20132469929538</v>
      </c>
      <c r="J60" s="27">
        <f>SUM($H$60:$H60)/12</f>
        <v>2.6834437249412812</v>
      </c>
    </row>
    <row r="61" spans="1:10" ht="12.75">
      <c r="A61">
        <v>2</v>
      </c>
      <c r="B61" s="84">
        <f>SQRT((((((($E$47+($E$53/2))^2)*(A61^2))/((9*($E$47+($E$53/2)))+(10*$E$52)))*SIN(($E$49*PI())/180))^2)+(((((($E$47+($E$53/2))^2)*(A61^2))/((8*($E$47+($E$53/2)))+(11*$E$53)))*COS(($E$49*PI())/180))^2))</f>
        <v>1.90702947845805</v>
      </c>
      <c r="C61" s="85"/>
      <c r="D61" s="84">
        <f aca="true" t="shared" si="1" ref="D61:D75">($D60)+2*(COS(($E$49*PI()/180))*$E$51)+2*(COS(($E$49*PI()/180))*$E$50)</f>
        <v>11.25</v>
      </c>
      <c r="F61" s="25">
        <f aca="true" t="shared" si="2" ref="F61:F75">$F60+((SIN(($E$49*PI()/180))*($E$51+$E$50)))</f>
        <v>0.25</v>
      </c>
      <c r="H61" s="17">
        <f t="shared" si="0"/>
        <v>35.34291735288517</v>
      </c>
      <c r="J61" s="27">
        <f>SUM($H$60:$H61)/12</f>
        <v>5.6286868376817125</v>
      </c>
    </row>
    <row r="62" spans="1:10" ht="12.75">
      <c r="A62">
        <v>3</v>
      </c>
      <c r="B62" s="84">
        <f aca="true" t="shared" si="3" ref="B62:B75">SQRT((((((($E$47+($E$53/2))^2)*(A62^2))/((9*($E$47+($E$53/2)))+(10*$E$52)))*SIN(($E$49*PI())/180))^2)+(((((($E$47+($E$53/2))^2)*(A62^2))/((8*($E$47+($E$53/2)))+(11*$E$53)))*COS(($E$49*PI())/180))^2))</f>
        <v>4.290816326530612</v>
      </c>
      <c r="C62" s="85"/>
      <c r="D62" s="84">
        <f t="shared" si="1"/>
        <v>12.25</v>
      </c>
      <c r="F62" s="25">
        <f t="shared" si="2"/>
        <v>0.25</v>
      </c>
      <c r="H62" s="17">
        <f t="shared" si="0"/>
        <v>38.48451000647496</v>
      </c>
      <c r="J62" s="27">
        <f>SUM($H$60:$H62)/12</f>
        <v>8.835729338221293</v>
      </c>
    </row>
    <row r="63" spans="1:10" ht="12.75">
      <c r="A63">
        <v>4</v>
      </c>
      <c r="B63" s="84">
        <f t="shared" si="3"/>
        <v>7.6281179138322</v>
      </c>
      <c r="C63" s="85"/>
      <c r="D63" s="84">
        <f t="shared" si="1"/>
        <v>13.25</v>
      </c>
      <c r="F63" s="25">
        <f t="shared" si="2"/>
        <v>0.25</v>
      </c>
      <c r="H63" s="17">
        <f t="shared" si="0"/>
        <v>41.62610266006476</v>
      </c>
      <c r="J63" s="27">
        <f>SUM($H$60:$H63)/12</f>
        <v>12.304571226560023</v>
      </c>
    </row>
    <row r="64" spans="1:10" ht="12.75">
      <c r="A64">
        <v>5</v>
      </c>
      <c r="B64" s="84">
        <f t="shared" si="3"/>
        <v>11.918934240362812</v>
      </c>
      <c r="C64" s="85"/>
      <c r="D64" s="84">
        <f t="shared" si="1"/>
        <v>14.25</v>
      </c>
      <c r="F64" s="25">
        <f t="shared" si="2"/>
        <v>0.25</v>
      </c>
      <c r="H64" s="17">
        <f t="shared" si="0"/>
        <v>44.76769531365455</v>
      </c>
      <c r="J64" s="27">
        <f>SUM($H$60:$H64)/12</f>
        <v>16.035212502697902</v>
      </c>
    </row>
    <row r="65" spans="1:10" ht="12.75">
      <c r="A65">
        <v>6</v>
      </c>
      <c r="B65" s="84">
        <f t="shared" si="3"/>
        <v>17.163265306122447</v>
      </c>
      <c r="C65" s="85"/>
      <c r="D65" s="84">
        <f t="shared" si="1"/>
        <v>15.25</v>
      </c>
      <c r="F65" s="25">
        <f t="shared" si="2"/>
        <v>0.25</v>
      </c>
      <c r="H65" s="17">
        <f t="shared" si="0"/>
        <v>47.909287967244346</v>
      </c>
      <c r="J65" s="27">
        <f>SUM($H$60:$H65)/12</f>
        <v>20.02765316663493</v>
      </c>
    </row>
    <row r="66" spans="1:10" ht="12.75">
      <c r="A66">
        <v>7</v>
      </c>
      <c r="B66" s="84">
        <f t="shared" si="3"/>
        <v>23.36111111111111</v>
      </c>
      <c r="C66" s="85"/>
      <c r="D66" s="84">
        <f t="shared" si="1"/>
        <v>16.25</v>
      </c>
      <c r="F66" s="25">
        <f t="shared" si="2"/>
        <v>0.25</v>
      </c>
      <c r="H66" s="17">
        <f t="shared" si="0"/>
        <v>51.050880620834135</v>
      </c>
      <c r="J66" s="27">
        <f>SUM($H$60:$H66)/12</f>
        <v>24.28189321837111</v>
      </c>
    </row>
    <row r="67" spans="1:10" ht="12.75">
      <c r="A67">
        <v>8</v>
      </c>
      <c r="B67" s="84">
        <f t="shared" si="3"/>
        <v>30.5124716553288</v>
      </c>
      <c r="C67" s="85"/>
      <c r="D67" s="84">
        <f t="shared" si="1"/>
        <v>17.25</v>
      </c>
      <c r="F67" s="25">
        <f t="shared" si="2"/>
        <v>0.25</v>
      </c>
      <c r="H67" s="17">
        <f t="shared" si="0"/>
        <v>54.19247327442393</v>
      </c>
      <c r="J67" s="27">
        <f>SUM($H$60:$H67)/12</f>
        <v>28.79793265790644</v>
      </c>
    </row>
    <row r="68" spans="1:10" ht="12.75">
      <c r="A68">
        <v>9</v>
      </c>
      <c r="B68" s="84">
        <f t="shared" si="3"/>
        <v>38.61734693877551</v>
      </c>
      <c r="C68" s="85"/>
      <c r="D68" s="84">
        <f t="shared" si="1"/>
        <v>18.25</v>
      </c>
      <c r="F68" s="25">
        <f t="shared" si="2"/>
        <v>0.25</v>
      </c>
      <c r="H68" s="17">
        <f t="shared" si="0"/>
        <v>57.33406592801372</v>
      </c>
      <c r="J68" s="27">
        <f>SUM($H$60:$H68)/12</f>
        <v>33.575771485240914</v>
      </c>
    </row>
    <row r="69" spans="1:10" ht="12.75">
      <c r="A69">
        <v>10</v>
      </c>
      <c r="B69" s="84">
        <f t="shared" si="3"/>
        <v>47.67573696145125</v>
      </c>
      <c r="C69" s="85"/>
      <c r="D69" s="84">
        <f t="shared" si="1"/>
        <v>19.25</v>
      </c>
      <c r="F69" s="25">
        <f t="shared" si="2"/>
        <v>0.25</v>
      </c>
      <c r="H69" s="17">
        <f t="shared" si="0"/>
        <v>60.47565858160352</v>
      </c>
      <c r="J69" s="27">
        <f>SUM($H$60:$H69)/12</f>
        <v>38.61540970037454</v>
      </c>
    </row>
    <row r="70" spans="1:10" ht="12.75">
      <c r="A70">
        <v>11</v>
      </c>
      <c r="B70" s="84">
        <f t="shared" si="3"/>
        <v>57.68764172335601</v>
      </c>
      <c r="C70" s="85"/>
      <c r="D70" s="84">
        <f t="shared" si="1"/>
        <v>20.25</v>
      </c>
      <c r="F70" s="25">
        <f t="shared" si="2"/>
        <v>0.25</v>
      </c>
      <c r="H70" s="17">
        <f t="shared" si="0"/>
        <v>63.61725123519331</v>
      </c>
      <c r="J70" s="27">
        <f>SUM($H$60:$H70)/12</f>
        <v>43.91684730330732</v>
      </c>
    </row>
    <row r="71" spans="1:10" ht="12.75">
      <c r="A71">
        <v>12</v>
      </c>
      <c r="B71" s="84">
        <f t="shared" si="3"/>
        <v>68.65306122448979</v>
      </c>
      <c r="C71" s="85"/>
      <c r="D71" s="84">
        <f t="shared" si="1"/>
        <v>21.25</v>
      </c>
      <c r="F71" s="25">
        <f t="shared" si="2"/>
        <v>0.25</v>
      </c>
      <c r="H71" s="17">
        <f t="shared" si="0"/>
        <v>66.7588438887831</v>
      </c>
      <c r="J71" s="27">
        <f>SUM($H$60:$H71)/12</f>
        <v>49.480084294039244</v>
      </c>
    </row>
    <row r="72" spans="1:10" ht="12.75">
      <c r="A72">
        <v>13</v>
      </c>
      <c r="B72" s="84">
        <f t="shared" si="3"/>
        <v>80.5719954648526</v>
      </c>
      <c r="C72" s="85"/>
      <c r="D72" s="84">
        <f t="shared" si="1"/>
        <v>22.25</v>
      </c>
      <c r="F72" s="25">
        <f t="shared" si="2"/>
        <v>0.25</v>
      </c>
      <c r="H72" s="17">
        <f t="shared" si="0"/>
        <v>69.9004365423729</v>
      </c>
      <c r="J72" s="27">
        <f>SUM($H$60:$H72)/12</f>
        <v>55.30512067257032</v>
      </c>
    </row>
    <row r="73" spans="1:10" ht="12.75">
      <c r="A73">
        <v>14</v>
      </c>
      <c r="B73" s="84">
        <f t="shared" si="3"/>
        <v>93.44444444444444</v>
      </c>
      <c r="C73" s="85"/>
      <c r="D73" s="84">
        <f t="shared" si="1"/>
        <v>23.25</v>
      </c>
      <c r="F73" s="25">
        <f t="shared" si="2"/>
        <v>0.25</v>
      </c>
      <c r="H73" s="17">
        <f t="shared" si="0"/>
        <v>73.04202919596268</v>
      </c>
      <c r="J73" s="27">
        <f>SUM($H$60:$H73)/12</f>
        <v>61.391956438900536</v>
      </c>
    </row>
    <row r="74" spans="1:10" ht="12.75">
      <c r="A74">
        <v>15</v>
      </c>
      <c r="B74" s="84">
        <f t="shared" si="3"/>
        <v>107.2704081632653</v>
      </c>
      <c r="C74" s="85"/>
      <c r="D74" s="84">
        <f t="shared" si="1"/>
        <v>24.25</v>
      </c>
      <c r="F74" s="25">
        <f t="shared" si="2"/>
        <v>0.25</v>
      </c>
      <c r="H74" s="17">
        <f t="shared" si="0"/>
        <v>76.18362184955248</v>
      </c>
      <c r="J74" s="27">
        <f>SUM($H$60:$H74)/12</f>
        <v>67.74059159302992</v>
      </c>
    </row>
    <row r="75" spans="1:10" ht="12.75">
      <c r="A75">
        <v>16</v>
      </c>
      <c r="B75" s="84">
        <f t="shared" si="3"/>
        <v>122.0498866213152</v>
      </c>
      <c r="C75" s="85"/>
      <c r="D75" s="84">
        <f t="shared" si="1"/>
        <v>25.25</v>
      </c>
      <c r="F75" s="25">
        <f t="shared" si="2"/>
        <v>0.25</v>
      </c>
      <c r="H75" s="17">
        <f t="shared" si="0"/>
        <v>79.32521450314228</v>
      </c>
      <c r="J75" s="27">
        <f>SUM($H$60:$H75)/12</f>
        <v>74.35102613495845</v>
      </c>
    </row>
    <row r="76" ht="12.75">
      <c r="C76" s="1"/>
    </row>
    <row r="77" ht="12.75">
      <c r="C77" s="1"/>
    </row>
    <row r="78" ht="12.75">
      <c r="C78" s="1"/>
    </row>
    <row r="79" ht="12.75">
      <c r="C79" s="1"/>
    </row>
    <row r="80" ht="12.75">
      <c r="C80" s="1"/>
    </row>
    <row r="81" ht="12.75">
      <c r="C81" s="1"/>
    </row>
    <row r="82" ht="12.75">
      <c r="C82" s="1"/>
    </row>
    <row r="83" ht="12.75">
      <c r="C83" s="1"/>
    </row>
    <row r="84" ht="12.75">
      <c r="C84" s="1"/>
    </row>
    <row r="85" ht="12.75">
      <c r="C85" s="1"/>
    </row>
    <row r="86" ht="12.75">
      <c r="C86" s="1"/>
    </row>
    <row r="88" spans="1:11" ht="12.75">
      <c r="A88" s="102" t="s">
        <v>133</v>
      </c>
      <c r="B88" s="102"/>
      <c r="C88" s="102"/>
      <c r="D88" s="102"/>
      <c r="E88" s="102"/>
      <c r="F88" s="102"/>
      <c r="G88" s="102"/>
      <c r="H88" s="102"/>
      <c r="I88" s="102"/>
      <c r="J88" s="102"/>
      <c r="K88" s="12"/>
    </row>
    <row r="89" ht="12.75">
      <c r="E89" s="11"/>
    </row>
    <row r="90" spans="1:6" ht="12.75">
      <c r="A90" s="103" t="s">
        <v>113</v>
      </c>
      <c r="B90" s="103"/>
      <c r="C90" s="103"/>
      <c r="D90" s="103"/>
      <c r="E90" s="103"/>
      <c r="F90" s="103"/>
    </row>
    <row r="92" spans="1:2" ht="12.75">
      <c r="A92" s="4" t="s">
        <v>115</v>
      </c>
      <c r="B92" s="24">
        <v>0.024</v>
      </c>
    </row>
    <row r="93" spans="1:2" ht="12.75">
      <c r="A93" s="4" t="s">
        <v>116</v>
      </c>
      <c r="B93" s="81">
        <v>76</v>
      </c>
    </row>
    <row r="94" spans="1:2" ht="12.75">
      <c r="A94" s="37" t="s">
        <v>114</v>
      </c>
      <c r="B94" s="82">
        <f>1000/((2*PI())*(SQRT(B92*B93)))</f>
        <v>117.84406491287051</v>
      </c>
    </row>
    <row r="95" spans="7:8" ht="12.75">
      <c r="G95" s="2"/>
      <c r="H95" s="2"/>
    </row>
    <row r="96" spans="1:11" ht="12.75">
      <c r="A96" s="101" t="s">
        <v>138</v>
      </c>
      <c r="B96" s="101"/>
      <c r="C96" s="101"/>
      <c r="D96" s="101"/>
      <c r="E96" s="101"/>
      <c r="F96" s="101"/>
      <c r="G96" s="101"/>
      <c r="H96" s="101"/>
      <c r="I96" s="101"/>
      <c r="J96" s="101"/>
      <c r="K96" s="101"/>
    </row>
    <row r="97" spans="1:10" ht="12.75" customHeight="1">
      <c r="A97" s="107" t="s">
        <v>135</v>
      </c>
      <c r="B97" s="107"/>
      <c r="C97" s="107"/>
      <c r="D97" s="107"/>
      <c r="E97" s="107"/>
      <c r="F97" s="107"/>
      <c r="G97" s="107"/>
      <c r="H97" s="107"/>
      <c r="I97" s="107"/>
      <c r="J97" s="107"/>
    </row>
    <row r="98" spans="1:10" ht="13.5" customHeight="1">
      <c r="A98" s="107"/>
      <c r="B98" s="107"/>
      <c r="C98" s="107"/>
      <c r="D98" s="107"/>
      <c r="E98" s="107"/>
      <c r="F98" s="107"/>
      <c r="G98" s="107"/>
      <c r="H98" s="107"/>
      <c r="I98" s="107"/>
      <c r="J98" s="107"/>
    </row>
    <row r="99" spans="1:10" ht="12.75">
      <c r="A99" s="107"/>
      <c r="B99" s="107"/>
      <c r="C99" s="107"/>
      <c r="D99" s="107"/>
      <c r="E99" s="107"/>
      <c r="F99" s="107"/>
      <c r="G99" s="107"/>
      <c r="H99" s="107"/>
      <c r="I99" s="107"/>
      <c r="J99" s="107"/>
    </row>
    <row r="100" spans="1:10" ht="12.75">
      <c r="A100" s="107"/>
      <c r="B100" s="107"/>
      <c r="C100" s="107"/>
      <c r="D100" s="107"/>
      <c r="E100" s="107"/>
      <c r="F100" s="107"/>
      <c r="G100" s="107"/>
      <c r="H100" s="107"/>
      <c r="I100" s="107"/>
      <c r="J100" s="107"/>
    </row>
    <row r="101" spans="1:10" ht="12.75">
      <c r="A101" s="107"/>
      <c r="B101" s="107"/>
      <c r="C101" s="107"/>
      <c r="D101" s="107"/>
      <c r="E101" s="107"/>
      <c r="F101" s="107"/>
      <c r="G101" s="107"/>
      <c r="H101" s="107"/>
      <c r="I101" s="107"/>
      <c r="J101" s="107"/>
    </row>
    <row r="102" spans="1:10" ht="12.75">
      <c r="A102" s="107"/>
      <c r="B102" s="107"/>
      <c r="C102" s="107"/>
      <c r="D102" s="107"/>
      <c r="E102" s="107"/>
      <c r="F102" s="107"/>
      <c r="G102" s="107"/>
      <c r="H102" s="107"/>
      <c r="I102" s="107"/>
      <c r="J102" s="107"/>
    </row>
    <row r="103" spans="1:10" ht="12.75">
      <c r="A103" s="107"/>
      <c r="B103" s="107"/>
      <c r="C103" s="107"/>
      <c r="D103" s="107"/>
      <c r="E103" s="107"/>
      <c r="F103" s="107"/>
      <c r="G103" s="107"/>
      <c r="H103" s="107"/>
      <c r="I103" s="107"/>
      <c r="J103" s="107"/>
    </row>
    <row r="104" spans="1:10" ht="12.75">
      <c r="A104" s="107"/>
      <c r="B104" s="107"/>
      <c r="C104" s="107"/>
      <c r="D104" s="107"/>
      <c r="E104" s="107"/>
      <c r="F104" s="107"/>
      <c r="G104" s="107"/>
      <c r="H104" s="107"/>
      <c r="I104" s="107"/>
      <c r="J104" s="107"/>
    </row>
    <row r="105" spans="1:10" ht="12.75">
      <c r="A105" s="107"/>
      <c r="B105" s="107"/>
      <c r="C105" s="107"/>
      <c r="D105" s="107"/>
      <c r="E105" s="107"/>
      <c r="F105" s="107"/>
      <c r="G105" s="107"/>
      <c r="H105" s="107"/>
      <c r="I105" s="107"/>
      <c r="J105" s="107"/>
    </row>
    <row r="106" spans="1:10" ht="12.75">
      <c r="A106" s="107"/>
      <c r="B106" s="107"/>
      <c r="C106" s="107"/>
      <c r="D106" s="107"/>
      <c r="E106" s="107"/>
      <c r="F106" s="107"/>
      <c r="G106" s="107"/>
      <c r="H106" s="107"/>
      <c r="I106" s="107"/>
      <c r="J106" s="107"/>
    </row>
    <row r="107" spans="1:10" ht="12.75">
      <c r="A107" s="107"/>
      <c r="B107" s="107"/>
      <c r="C107" s="107"/>
      <c r="D107" s="107"/>
      <c r="E107" s="107"/>
      <c r="F107" s="107"/>
      <c r="G107" s="107"/>
      <c r="H107" s="107"/>
      <c r="I107" s="107"/>
      <c r="J107" s="107"/>
    </row>
    <row r="108" spans="1:10" ht="12.75">
      <c r="A108" s="107"/>
      <c r="B108" s="107"/>
      <c r="C108" s="107"/>
      <c r="D108" s="107"/>
      <c r="E108" s="107"/>
      <c r="F108" s="107"/>
      <c r="G108" s="107"/>
      <c r="H108" s="107"/>
      <c r="I108" s="107"/>
      <c r="J108" s="107"/>
    </row>
    <row r="109" spans="1:10" ht="12.75">
      <c r="A109" s="107"/>
      <c r="B109" s="107"/>
      <c r="C109" s="107"/>
      <c r="D109" s="107"/>
      <c r="E109" s="107"/>
      <c r="F109" s="107"/>
      <c r="G109" s="107"/>
      <c r="H109" s="107"/>
      <c r="I109" s="107"/>
      <c r="J109" s="107"/>
    </row>
  </sheetData>
  <mergeCells count="23">
    <mergeCell ref="A97:J109"/>
    <mergeCell ref="A1:K1"/>
    <mergeCell ref="A31:J31"/>
    <mergeCell ref="A26:D26"/>
    <mergeCell ref="A35:C35"/>
    <mergeCell ref="H15:K15"/>
    <mergeCell ref="H18:K18"/>
    <mergeCell ref="A22:D22"/>
    <mergeCell ref="F22:I22"/>
    <mergeCell ref="C3:E3"/>
    <mergeCell ref="G3:I3"/>
    <mergeCell ref="A42:C42"/>
    <mergeCell ref="A43:C43"/>
    <mergeCell ref="A11:K11"/>
    <mergeCell ref="A36:C36"/>
    <mergeCell ref="A37:C37"/>
    <mergeCell ref="A38:C38"/>
    <mergeCell ref="G49:I49"/>
    <mergeCell ref="G47:J47"/>
    <mergeCell ref="A96:K96"/>
    <mergeCell ref="G48:I48"/>
    <mergeCell ref="A88:J88"/>
    <mergeCell ref="A90:F90"/>
  </mergeCells>
  <conditionalFormatting sqref="K16">
    <cfRule type="cellIs" priority="1" dxfId="0" operator="lessThan" stopIfTrue="1">
      <formula>0</formula>
    </cfRule>
  </conditionalFormatting>
  <printOptions gridLines="1"/>
  <pageMargins left="0" right="0" top="0.5" bottom="0.25" header="0.5" footer="0.5"/>
  <pageSetup horizontalDpi="300" verticalDpi="300" orientation="portrait" scale="93" r:id="rId4"/>
  <headerFooter alignWithMargins="0">
    <oddHeader>&amp;C&amp;F</oddHeader>
  </headerFooter>
  <rowBreaks count="1" manualBreakCount="1">
    <brk id="56" max="10" man="1"/>
  </rowBreaks>
  <colBreaks count="1" manualBreakCount="1">
    <brk id="11"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Z43"/>
  <sheetViews>
    <sheetView zoomScale="85" zoomScaleNormal="85" workbookViewId="0" topLeftCell="A1">
      <selection activeCell="A34" sqref="A34"/>
    </sheetView>
  </sheetViews>
  <sheetFormatPr defaultColWidth="9.140625" defaultRowHeight="12.75"/>
  <cols>
    <col min="1" max="1" width="14.28125" style="0" customWidth="1"/>
    <col min="4" max="4" width="1.57421875" style="0" customWidth="1"/>
    <col min="5" max="25" width="6.7109375" style="0" customWidth="1"/>
  </cols>
  <sheetData>
    <row r="1" spans="2:26" ht="13.5" thickBot="1">
      <c r="B1" s="48"/>
      <c r="C1" s="48"/>
      <c r="D1" s="39"/>
      <c r="E1" s="39"/>
      <c r="F1" s="62" t="s">
        <v>85</v>
      </c>
      <c r="G1" s="120" t="s">
        <v>86</v>
      </c>
      <c r="H1" s="121"/>
      <c r="I1" s="121"/>
      <c r="J1" s="121"/>
      <c r="K1" s="121"/>
      <c r="L1" s="121"/>
      <c r="M1" s="121"/>
      <c r="N1" s="121"/>
      <c r="O1" s="121"/>
      <c r="P1" s="121"/>
      <c r="Q1" s="121"/>
      <c r="R1" s="121"/>
      <c r="S1" s="121"/>
      <c r="T1" s="121"/>
      <c r="U1" s="121"/>
      <c r="V1" s="121"/>
      <c r="W1" s="121"/>
      <c r="X1" s="121"/>
      <c r="Y1" s="121"/>
      <c r="Z1" s="122"/>
    </row>
    <row r="2" spans="1:26" ht="13.5" thickBot="1">
      <c r="A2" s="39"/>
      <c r="B2" s="39"/>
      <c r="C2" s="39"/>
      <c r="D2" s="39"/>
      <c r="E2" s="63" t="s">
        <v>100</v>
      </c>
      <c r="F2" s="64" t="s">
        <v>87</v>
      </c>
      <c r="G2" s="65">
        <v>1</v>
      </c>
      <c r="H2" s="66">
        <v>2</v>
      </c>
      <c r="I2" s="66">
        <v>3</v>
      </c>
      <c r="J2" s="66">
        <v>4</v>
      </c>
      <c r="K2" s="66">
        <v>5</v>
      </c>
      <c r="L2" s="66">
        <v>6</v>
      </c>
      <c r="M2" s="66">
        <v>7</v>
      </c>
      <c r="N2" s="66">
        <v>8</v>
      </c>
      <c r="O2" s="66">
        <v>9</v>
      </c>
      <c r="P2" s="66">
        <v>10</v>
      </c>
      <c r="Q2" s="66">
        <v>11</v>
      </c>
      <c r="R2" s="66">
        <v>12</v>
      </c>
      <c r="S2" s="66">
        <v>13</v>
      </c>
      <c r="T2" s="66">
        <v>14</v>
      </c>
      <c r="U2" s="66">
        <v>15</v>
      </c>
      <c r="V2" s="66">
        <v>16</v>
      </c>
      <c r="W2" s="66">
        <v>17</v>
      </c>
      <c r="X2" s="66">
        <v>18</v>
      </c>
      <c r="Y2" s="66">
        <v>19</v>
      </c>
      <c r="Z2" s="67">
        <v>20</v>
      </c>
    </row>
    <row r="3" spans="1:26" ht="12.75">
      <c r="A3" s="39"/>
      <c r="B3" s="39"/>
      <c r="C3" s="39"/>
      <c r="D3" s="39"/>
      <c r="E3" s="68">
        <f>($B$17*$F3)/1000</f>
        <v>1.5</v>
      </c>
      <c r="F3" s="69">
        <v>1</v>
      </c>
      <c r="G3" s="70">
        <f aca="true" t="shared" si="0" ref="G3:V19">($B$16/$F3)*G$2</f>
        <v>0.056</v>
      </c>
      <c r="H3" s="70">
        <f t="shared" si="0"/>
        <v>0.112</v>
      </c>
      <c r="I3" s="70">
        <f t="shared" si="0"/>
        <v>0.168</v>
      </c>
      <c r="J3" s="70">
        <f t="shared" si="0"/>
        <v>0.224</v>
      </c>
      <c r="K3" s="70">
        <f t="shared" si="0"/>
        <v>0.28</v>
      </c>
      <c r="L3" s="70">
        <f t="shared" si="0"/>
        <v>0.336</v>
      </c>
      <c r="M3" s="70">
        <f t="shared" si="0"/>
        <v>0.392</v>
      </c>
      <c r="N3" s="70">
        <f t="shared" si="0"/>
        <v>0.448</v>
      </c>
      <c r="O3" s="70">
        <f t="shared" si="0"/>
        <v>0.504</v>
      </c>
      <c r="P3" s="70">
        <f t="shared" si="0"/>
        <v>0.56</v>
      </c>
      <c r="Q3" s="70">
        <f t="shared" si="0"/>
        <v>0.616</v>
      </c>
      <c r="R3" s="70">
        <f t="shared" si="0"/>
        <v>0.672</v>
      </c>
      <c r="S3" s="70">
        <f t="shared" si="0"/>
        <v>0.728</v>
      </c>
      <c r="T3" s="70">
        <f t="shared" si="0"/>
        <v>0.784</v>
      </c>
      <c r="U3" s="70">
        <f t="shared" si="0"/>
        <v>0.84</v>
      </c>
      <c r="V3" s="70">
        <f t="shared" si="0"/>
        <v>0.896</v>
      </c>
      <c r="W3" s="70">
        <f aca="true" t="shared" si="1" ref="W3:Z18">($B$16/$F3)*W$2</f>
        <v>0.9520000000000001</v>
      </c>
      <c r="X3" s="70">
        <f t="shared" si="1"/>
        <v>1.008</v>
      </c>
      <c r="Y3" s="70">
        <f t="shared" si="1"/>
        <v>1.064</v>
      </c>
      <c r="Z3" s="70">
        <f t="shared" si="1"/>
        <v>1.12</v>
      </c>
    </row>
    <row r="4" spans="5:26" ht="12.75">
      <c r="E4" s="71">
        <f aca="true" t="shared" si="2" ref="E4:E42">($B$17*$F4)/1000</f>
        <v>3</v>
      </c>
      <c r="F4" s="72">
        <v>2</v>
      </c>
      <c r="G4" s="70">
        <f t="shared" si="0"/>
        <v>0.028</v>
      </c>
      <c r="H4" s="70">
        <f t="shared" si="0"/>
        <v>0.056</v>
      </c>
      <c r="I4" s="70">
        <f t="shared" si="0"/>
        <v>0.084</v>
      </c>
      <c r="J4" s="70">
        <f t="shared" si="0"/>
        <v>0.112</v>
      </c>
      <c r="K4" s="70">
        <f t="shared" si="0"/>
        <v>0.14</v>
      </c>
      <c r="L4" s="70">
        <f t="shared" si="0"/>
        <v>0.168</v>
      </c>
      <c r="M4" s="70">
        <f t="shared" si="0"/>
        <v>0.196</v>
      </c>
      <c r="N4" s="70">
        <f t="shared" si="0"/>
        <v>0.224</v>
      </c>
      <c r="O4" s="70">
        <f t="shared" si="0"/>
        <v>0.252</v>
      </c>
      <c r="P4" s="70">
        <f t="shared" si="0"/>
        <v>0.28</v>
      </c>
      <c r="Q4" s="70">
        <f t="shared" si="0"/>
        <v>0.308</v>
      </c>
      <c r="R4" s="70">
        <f t="shared" si="0"/>
        <v>0.336</v>
      </c>
      <c r="S4" s="70">
        <f t="shared" si="0"/>
        <v>0.364</v>
      </c>
      <c r="T4" s="70">
        <f t="shared" si="0"/>
        <v>0.392</v>
      </c>
      <c r="U4" s="70">
        <f t="shared" si="0"/>
        <v>0.42</v>
      </c>
      <c r="V4" s="70">
        <f t="shared" si="0"/>
        <v>0.448</v>
      </c>
      <c r="W4" s="70">
        <f t="shared" si="1"/>
        <v>0.47600000000000003</v>
      </c>
      <c r="X4" s="70">
        <f t="shared" si="1"/>
        <v>0.504</v>
      </c>
      <c r="Y4" s="70">
        <f t="shared" si="1"/>
        <v>0.532</v>
      </c>
      <c r="Z4" s="70">
        <f t="shared" si="1"/>
        <v>0.56</v>
      </c>
    </row>
    <row r="5" spans="5:26" ht="12.75">
      <c r="E5" s="71">
        <f t="shared" si="2"/>
        <v>4.5</v>
      </c>
      <c r="F5" s="72">
        <v>3</v>
      </c>
      <c r="G5" s="70">
        <f t="shared" si="0"/>
        <v>0.018666666666666668</v>
      </c>
      <c r="H5" s="70">
        <f t="shared" si="0"/>
        <v>0.037333333333333336</v>
      </c>
      <c r="I5" s="70">
        <f t="shared" si="0"/>
        <v>0.05600000000000001</v>
      </c>
      <c r="J5" s="70">
        <f t="shared" si="0"/>
        <v>0.07466666666666667</v>
      </c>
      <c r="K5" s="70">
        <f t="shared" si="0"/>
        <v>0.09333333333333334</v>
      </c>
      <c r="L5" s="70">
        <f t="shared" si="0"/>
        <v>0.11200000000000002</v>
      </c>
      <c r="M5" s="70">
        <f t="shared" si="0"/>
        <v>0.13066666666666668</v>
      </c>
      <c r="N5" s="70">
        <f t="shared" si="0"/>
        <v>0.14933333333333335</v>
      </c>
      <c r="O5" s="70">
        <f t="shared" si="0"/>
        <v>0.168</v>
      </c>
      <c r="P5" s="70">
        <f t="shared" si="0"/>
        <v>0.18666666666666668</v>
      </c>
      <c r="Q5" s="70">
        <f t="shared" si="0"/>
        <v>0.20533333333333334</v>
      </c>
      <c r="R5" s="70">
        <f t="shared" si="0"/>
        <v>0.22400000000000003</v>
      </c>
      <c r="S5" s="70">
        <f t="shared" si="0"/>
        <v>0.2426666666666667</v>
      </c>
      <c r="T5" s="70">
        <f t="shared" si="0"/>
        <v>0.26133333333333336</v>
      </c>
      <c r="U5" s="70">
        <f t="shared" si="0"/>
        <v>0.28</v>
      </c>
      <c r="V5" s="70">
        <f t="shared" si="0"/>
        <v>0.2986666666666667</v>
      </c>
      <c r="W5" s="70">
        <f t="shared" si="1"/>
        <v>0.31733333333333336</v>
      </c>
      <c r="X5" s="70">
        <f t="shared" si="1"/>
        <v>0.336</v>
      </c>
      <c r="Y5" s="70">
        <f t="shared" si="1"/>
        <v>0.3546666666666667</v>
      </c>
      <c r="Z5" s="70">
        <f t="shared" si="1"/>
        <v>0.37333333333333335</v>
      </c>
    </row>
    <row r="6" spans="5:26" ht="12.75">
      <c r="E6" s="71">
        <f t="shared" si="2"/>
        <v>6</v>
      </c>
      <c r="F6" s="72">
        <v>4</v>
      </c>
      <c r="G6" s="70">
        <f t="shared" si="0"/>
        <v>0.014</v>
      </c>
      <c r="H6" s="70">
        <f t="shared" si="0"/>
        <v>0.028</v>
      </c>
      <c r="I6" s="70">
        <f t="shared" si="0"/>
        <v>0.042</v>
      </c>
      <c r="J6" s="70">
        <f t="shared" si="0"/>
        <v>0.056</v>
      </c>
      <c r="K6" s="70">
        <f t="shared" si="0"/>
        <v>0.07</v>
      </c>
      <c r="L6" s="70">
        <f t="shared" si="0"/>
        <v>0.084</v>
      </c>
      <c r="M6" s="70">
        <f t="shared" si="0"/>
        <v>0.098</v>
      </c>
      <c r="N6" s="70">
        <f t="shared" si="0"/>
        <v>0.112</v>
      </c>
      <c r="O6" s="70">
        <f t="shared" si="0"/>
        <v>0.126</v>
      </c>
      <c r="P6" s="70">
        <f t="shared" si="0"/>
        <v>0.14</v>
      </c>
      <c r="Q6" s="70">
        <f t="shared" si="0"/>
        <v>0.154</v>
      </c>
      <c r="R6" s="70">
        <f t="shared" si="0"/>
        <v>0.168</v>
      </c>
      <c r="S6" s="70">
        <f t="shared" si="0"/>
        <v>0.182</v>
      </c>
      <c r="T6" s="70">
        <f t="shared" si="0"/>
        <v>0.196</v>
      </c>
      <c r="U6" s="70">
        <f t="shared" si="0"/>
        <v>0.21</v>
      </c>
      <c r="V6" s="70">
        <f t="shared" si="0"/>
        <v>0.224</v>
      </c>
      <c r="W6" s="70">
        <f t="shared" si="1"/>
        <v>0.23800000000000002</v>
      </c>
      <c r="X6" s="70">
        <f t="shared" si="1"/>
        <v>0.252</v>
      </c>
      <c r="Y6" s="70">
        <f t="shared" si="1"/>
        <v>0.266</v>
      </c>
      <c r="Z6" s="70">
        <f t="shared" si="1"/>
        <v>0.28</v>
      </c>
    </row>
    <row r="7" spans="5:26" ht="12.75">
      <c r="E7" s="71">
        <f t="shared" si="2"/>
        <v>7.5</v>
      </c>
      <c r="F7" s="72">
        <v>5</v>
      </c>
      <c r="G7" s="70">
        <f t="shared" si="0"/>
        <v>0.0112</v>
      </c>
      <c r="H7" s="70">
        <f t="shared" si="0"/>
        <v>0.0224</v>
      </c>
      <c r="I7" s="70">
        <f t="shared" si="0"/>
        <v>0.0336</v>
      </c>
      <c r="J7" s="70">
        <f t="shared" si="0"/>
        <v>0.0448</v>
      </c>
      <c r="K7" s="70">
        <f t="shared" si="0"/>
        <v>0.056</v>
      </c>
      <c r="L7" s="70">
        <f t="shared" si="0"/>
        <v>0.0672</v>
      </c>
      <c r="M7" s="70">
        <f t="shared" si="0"/>
        <v>0.0784</v>
      </c>
      <c r="N7" s="70">
        <f t="shared" si="0"/>
        <v>0.0896</v>
      </c>
      <c r="O7" s="70">
        <f t="shared" si="0"/>
        <v>0.1008</v>
      </c>
      <c r="P7" s="70">
        <f t="shared" si="0"/>
        <v>0.112</v>
      </c>
      <c r="Q7" s="70">
        <f t="shared" si="0"/>
        <v>0.1232</v>
      </c>
      <c r="R7" s="70">
        <f t="shared" si="0"/>
        <v>0.1344</v>
      </c>
      <c r="S7" s="70">
        <f t="shared" si="0"/>
        <v>0.1456</v>
      </c>
      <c r="T7" s="70">
        <f t="shared" si="0"/>
        <v>0.1568</v>
      </c>
      <c r="U7" s="70">
        <f t="shared" si="0"/>
        <v>0.168</v>
      </c>
      <c r="V7" s="70">
        <f t="shared" si="0"/>
        <v>0.1792</v>
      </c>
      <c r="W7" s="70">
        <f t="shared" si="1"/>
        <v>0.19039999999999999</v>
      </c>
      <c r="X7" s="70">
        <f t="shared" si="1"/>
        <v>0.2016</v>
      </c>
      <c r="Y7" s="70">
        <f t="shared" si="1"/>
        <v>0.2128</v>
      </c>
      <c r="Z7" s="70">
        <f t="shared" si="1"/>
        <v>0.224</v>
      </c>
    </row>
    <row r="8" spans="5:26" ht="12.75">
      <c r="E8" s="71">
        <f t="shared" si="2"/>
        <v>9</v>
      </c>
      <c r="F8" s="72">
        <v>6</v>
      </c>
      <c r="G8" s="70">
        <f t="shared" si="0"/>
        <v>0.009333333333333334</v>
      </c>
      <c r="H8" s="70">
        <f t="shared" si="0"/>
        <v>0.018666666666666668</v>
      </c>
      <c r="I8" s="70">
        <f t="shared" si="0"/>
        <v>0.028000000000000004</v>
      </c>
      <c r="J8" s="70">
        <f t="shared" si="0"/>
        <v>0.037333333333333336</v>
      </c>
      <c r="K8" s="70">
        <f t="shared" si="0"/>
        <v>0.04666666666666667</v>
      </c>
      <c r="L8" s="70">
        <f t="shared" si="0"/>
        <v>0.05600000000000001</v>
      </c>
      <c r="M8" s="70">
        <f t="shared" si="0"/>
        <v>0.06533333333333334</v>
      </c>
      <c r="N8" s="70">
        <f t="shared" si="0"/>
        <v>0.07466666666666667</v>
      </c>
      <c r="O8" s="70">
        <f t="shared" si="0"/>
        <v>0.084</v>
      </c>
      <c r="P8" s="70">
        <f t="shared" si="0"/>
        <v>0.09333333333333334</v>
      </c>
      <c r="Q8" s="70">
        <f t="shared" si="0"/>
        <v>0.10266666666666667</v>
      </c>
      <c r="R8" s="70">
        <f t="shared" si="0"/>
        <v>0.11200000000000002</v>
      </c>
      <c r="S8" s="70">
        <f t="shared" si="0"/>
        <v>0.12133333333333335</v>
      </c>
      <c r="T8" s="70">
        <f t="shared" si="0"/>
        <v>0.13066666666666668</v>
      </c>
      <c r="U8" s="70">
        <f t="shared" si="0"/>
        <v>0.14</v>
      </c>
      <c r="V8" s="70">
        <f t="shared" si="0"/>
        <v>0.14933333333333335</v>
      </c>
      <c r="W8" s="70">
        <f t="shared" si="1"/>
        <v>0.15866666666666668</v>
      </c>
      <c r="X8" s="70">
        <f t="shared" si="1"/>
        <v>0.168</v>
      </c>
      <c r="Y8" s="70">
        <f t="shared" si="1"/>
        <v>0.17733333333333334</v>
      </c>
      <c r="Z8" s="70">
        <f t="shared" si="1"/>
        <v>0.18666666666666668</v>
      </c>
    </row>
    <row r="9" spans="5:26" ht="12.75">
      <c r="E9" s="71">
        <f t="shared" si="2"/>
        <v>10.5</v>
      </c>
      <c r="F9" s="72">
        <v>7</v>
      </c>
      <c r="G9" s="70">
        <f t="shared" si="0"/>
        <v>0.008</v>
      </c>
      <c r="H9" s="70">
        <f t="shared" si="0"/>
        <v>0.016</v>
      </c>
      <c r="I9" s="70">
        <f t="shared" si="0"/>
        <v>0.024</v>
      </c>
      <c r="J9" s="70">
        <f t="shared" si="0"/>
        <v>0.032</v>
      </c>
      <c r="K9" s="70">
        <f t="shared" si="0"/>
        <v>0.04</v>
      </c>
      <c r="L9" s="70">
        <f t="shared" si="0"/>
        <v>0.048</v>
      </c>
      <c r="M9" s="70">
        <f t="shared" si="0"/>
        <v>0.056</v>
      </c>
      <c r="N9" s="70">
        <f t="shared" si="0"/>
        <v>0.064</v>
      </c>
      <c r="O9" s="70">
        <f t="shared" si="0"/>
        <v>0.07200000000000001</v>
      </c>
      <c r="P9" s="70">
        <f t="shared" si="0"/>
        <v>0.08</v>
      </c>
      <c r="Q9" s="70">
        <f t="shared" si="0"/>
        <v>0.088</v>
      </c>
      <c r="R9" s="70">
        <f t="shared" si="0"/>
        <v>0.096</v>
      </c>
      <c r="S9" s="70">
        <f t="shared" si="0"/>
        <v>0.10400000000000001</v>
      </c>
      <c r="T9" s="70">
        <f t="shared" si="0"/>
        <v>0.112</v>
      </c>
      <c r="U9" s="70">
        <f t="shared" si="0"/>
        <v>0.12</v>
      </c>
      <c r="V9" s="70">
        <f t="shared" si="0"/>
        <v>0.128</v>
      </c>
      <c r="W9" s="70">
        <f t="shared" si="1"/>
        <v>0.136</v>
      </c>
      <c r="X9" s="70">
        <f t="shared" si="1"/>
        <v>0.14400000000000002</v>
      </c>
      <c r="Y9" s="70">
        <f t="shared" si="1"/>
        <v>0.152</v>
      </c>
      <c r="Z9" s="70">
        <f t="shared" si="1"/>
        <v>0.16</v>
      </c>
    </row>
    <row r="10" spans="4:26" ht="12.75">
      <c r="D10" s="39"/>
      <c r="E10" s="71">
        <f t="shared" si="2"/>
        <v>12</v>
      </c>
      <c r="F10" s="72">
        <v>8</v>
      </c>
      <c r="G10" s="70">
        <f t="shared" si="0"/>
        <v>0.007</v>
      </c>
      <c r="H10" s="70">
        <f t="shared" si="0"/>
        <v>0.014</v>
      </c>
      <c r="I10" s="70">
        <f t="shared" si="0"/>
        <v>0.021</v>
      </c>
      <c r="J10" s="70">
        <f t="shared" si="0"/>
        <v>0.028</v>
      </c>
      <c r="K10" s="70">
        <f t="shared" si="0"/>
        <v>0.035</v>
      </c>
      <c r="L10" s="70">
        <f t="shared" si="0"/>
        <v>0.042</v>
      </c>
      <c r="M10" s="70">
        <f t="shared" si="0"/>
        <v>0.049</v>
      </c>
      <c r="N10" s="70">
        <f t="shared" si="0"/>
        <v>0.056</v>
      </c>
      <c r="O10" s="70">
        <f t="shared" si="0"/>
        <v>0.063</v>
      </c>
      <c r="P10" s="70">
        <f t="shared" si="0"/>
        <v>0.07</v>
      </c>
      <c r="Q10" s="70">
        <f t="shared" si="0"/>
        <v>0.077</v>
      </c>
      <c r="R10" s="70">
        <f t="shared" si="0"/>
        <v>0.084</v>
      </c>
      <c r="S10" s="70">
        <f t="shared" si="0"/>
        <v>0.091</v>
      </c>
      <c r="T10" s="70">
        <f t="shared" si="0"/>
        <v>0.098</v>
      </c>
      <c r="U10" s="70">
        <f t="shared" si="0"/>
        <v>0.105</v>
      </c>
      <c r="V10" s="70">
        <f t="shared" si="0"/>
        <v>0.112</v>
      </c>
      <c r="W10" s="70">
        <f t="shared" si="1"/>
        <v>0.11900000000000001</v>
      </c>
      <c r="X10" s="70">
        <f t="shared" si="1"/>
        <v>0.126</v>
      </c>
      <c r="Y10" s="70">
        <f t="shared" si="1"/>
        <v>0.133</v>
      </c>
      <c r="Z10" s="70">
        <f t="shared" si="1"/>
        <v>0.14</v>
      </c>
    </row>
    <row r="11" spans="1:26" ht="18">
      <c r="A11" s="123" t="s">
        <v>139</v>
      </c>
      <c r="B11" s="124"/>
      <c r="C11" s="124"/>
      <c r="D11" s="39"/>
      <c r="E11" s="71">
        <f t="shared" si="2"/>
        <v>13.5</v>
      </c>
      <c r="F11" s="72">
        <v>9</v>
      </c>
      <c r="G11" s="70">
        <f t="shared" si="0"/>
        <v>0.006222222222222223</v>
      </c>
      <c r="H11" s="70">
        <f t="shared" si="0"/>
        <v>0.012444444444444445</v>
      </c>
      <c r="I11" s="70">
        <f t="shared" si="0"/>
        <v>0.018666666666666668</v>
      </c>
      <c r="J11" s="70">
        <f t="shared" si="0"/>
        <v>0.02488888888888889</v>
      </c>
      <c r="K11" s="70">
        <f t="shared" si="0"/>
        <v>0.031111111111111114</v>
      </c>
      <c r="L11" s="70">
        <f t="shared" si="0"/>
        <v>0.037333333333333336</v>
      </c>
      <c r="M11" s="70">
        <f t="shared" si="0"/>
        <v>0.043555555555555556</v>
      </c>
      <c r="N11" s="70">
        <f t="shared" si="0"/>
        <v>0.04977777777777778</v>
      </c>
      <c r="O11" s="70">
        <f t="shared" si="0"/>
        <v>0.05600000000000001</v>
      </c>
      <c r="P11" s="70">
        <f t="shared" si="0"/>
        <v>0.06222222222222223</v>
      </c>
      <c r="Q11" s="70">
        <f t="shared" si="0"/>
        <v>0.06844444444444445</v>
      </c>
      <c r="R11" s="70">
        <f t="shared" si="0"/>
        <v>0.07466666666666667</v>
      </c>
      <c r="S11" s="70">
        <f t="shared" si="0"/>
        <v>0.0808888888888889</v>
      </c>
      <c r="T11" s="70">
        <f t="shared" si="0"/>
        <v>0.08711111111111111</v>
      </c>
      <c r="U11" s="70">
        <f t="shared" si="0"/>
        <v>0.09333333333333334</v>
      </c>
      <c r="V11" s="70">
        <f t="shared" si="0"/>
        <v>0.09955555555555556</v>
      </c>
      <c r="W11" s="70">
        <f t="shared" si="1"/>
        <v>0.10577777777777779</v>
      </c>
      <c r="X11" s="70">
        <f t="shared" si="1"/>
        <v>0.11200000000000002</v>
      </c>
      <c r="Y11" s="70">
        <f t="shared" si="1"/>
        <v>0.11822222222222223</v>
      </c>
      <c r="Z11" s="70">
        <f t="shared" si="1"/>
        <v>0.12444444444444445</v>
      </c>
    </row>
    <row r="12" spans="4:26" ht="12.75">
      <c r="D12" s="39"/>
      <c r="E12" s="71">
        <f t="shared" si="2"/>
        <v>15</v>
      </c>
      <c r="F12" s="72">
        <v>10</v>
      </c>
      <c r="G12" s="70">
        <f t="shared" si="0"/>
        <v>0.0056</v>
      </c>
      <c r="H12" s="70">
        <f t="shared" si="0"/>
        <v>0.0112</v>
      </c>
      <c r="I12" s="70">
        <f t="shared" si="0"/>
        <v>0.0168</v>
      </c>
      <c r="J12" s="70">
        <f t="shared" si="0"/>
        <v>0.0224</v>
      </c>
      <c r="K12" s="70">
        <f t="shared" si="0"/>
        <v>0.028</v>
      </c>
      <c r="L12" s="70">
        <f t="shared" si="0"/>
        <v>0.0336</v>
      </c>
      <c r="M12" s="70">
        <f t="shared" si="0"/>
        <v>0.0392</v>
      </c>
      <c r="N12" s="70">
        <f t="shared" si="0"/>
        <v>0.0448</v>
      </c>
      <c r="O12" s="70">
        <f t="shared" si="0"/>
        <v>0.0504</v>
      </c>
      <c r="P12" s="70">
        <f t="shared" si="0"/>
        <v>0.056</v>
      </c>
      <c r="Q12" s="70">
        <f t="shared" si="0"/>
        <v>0.0616</v>
      </c>
      <c r="R12" s="70">
        <f t="shared" si="0"/>
        <v>0.0672</v>
      </c>
      <c r="S12" s="70">
        <f t="shared" si="0"/>
        <v>0.0728</v>
      </c>
      <c r="T12" s="70">
        <f t="shared" si="0"/>
        <v>0.0784</v>
      </c>
      <c r="U12" s="70">
        <f t="shared" si="0"/>
        <v>0.084</v>
      </c>
      <c r="V12" s="70">
        <f t="shared" si="0"/>
        <v>0.0896</v>
      </c>
      <c r="W12" s="70">
        <f t="shared" si="1"/>
        <v>0.09519999999999999</v>
      </c>
      <c r="X12" s="70">
        <f t="shared" si="1"/>
        <v>0.1008</v>
      </c>
      <c r="Y12" s="70">
        <f t="shared" si="1"/>
        <v>0.1064</v>
      </c>
      <c r="Z12" s="70">
        <f t="shared" si="1"/>
        <v>0.112</v>
      </c>
    </row>
    <row r="13" spans="4:26" ht="12.75">
      <c r="D13" s="39"/>
      <c r="E13" s="71">
        <f t="shared" si="2"/>
        <v>16.5</v>
      </c>
      <c r="F13" s="72">
        <v>11</v>
      </c>
      <c r="G13" s="70">
        <f t="shared" si="0"/>
        <v>0.005090909090909091</v>
      </c>
      <c r="H13" s="70">
        <f t="shared" si="0"/>
        <v>0.010181818181818183</v>
      </c>
      <c r="I13" s="70">
        <f t="shared" si="0"/>
        <v>0.015272727272727275</v>
      </c>
      <c r="J13" s="70">
        <f t="shared" si="0"/>
        <v>0.020363636363636365</v>
      </c>
      <c r="K13" s="70">
        <f t="shared" si="0"/>
        <v>0.025454545454545455</v>
      </c>
      <c r="L13" s="70">
        <f t="shared" si="0"/>
        <v>0.03054545454545455</v>
      </c>
      <c r="M13" s="70">
        <f t="shared" si="0"/>
        <v>0.03563636363636364</v>
      </c>
      <c r="N13" s="70">
        <f t="shared" si="0"/>
        <v>0.04072727272727273</v>
      </c>
      <c r="O13" s="70">
        <f t="shared" si="0"/>
        <v>0.04581818181818182</v>
      </c>
      <c r="P13" s="70">
        <f t="shared" si="0"/>
        <v>0.05090909090909091</v>
      </c>
      <c r="Q13" s="70">
        <f t="shared" si="0"/>
        <v>0.056</v>
      </c>
      <c r="R13" s="70">
        <f t="shared" si="0"/>
        <v>0.0610909090909091</v>
      </c>
      <c r="S13" s="70">
        <f t="shared" si="0"/>
        <v>0.06618181818181819</v>
      </c>
      <c r="T13" s="70">
        <f t="shared" si="0"/>
        <v>0.07127272727272728</v>
      </c>
      <c r="U13" s="70">
        <f t="shared" si="0"/>
        <v>0.07636363636363637</v>
      </c>
      <c r="V13" s="70">
        <f t="shared" si="0"/>
        <v>0.08145454545454546</v>
      </c>
      <c r="W13" s="70">
        <f t="shared" si="1"/>
        <v>0.08654545454545455</v>
      </c>
      <c r="X13" s="70">
        <f t="shared" si="1"/>
        <v>0.09163636363636364</v>
      </c>
      <c r="Y13" s="70">
        <f t="shared" si="1"/>
        <v>0.09672727272727273</v>
      </c>
      <c r="Z13" s="70">
        <f t="shared" si="1"/>
        <v>0.10181818181818182</v>
      </c>
    </row>
    <row r="14" spans="4:26" ht="12.75">
      <c r="D14" s="39"/>
      <c r="E14" s="71">
        <f t="shared" si="2"/>
        <v>18</v>
      </c>
      <c r="F14" s="72">
        <v>12</v>
      </c>
      <c r="G14" s="70">
        <f t="shared" si="0"/>
        <v>0.004666666666666667</v>
      </c>
      <c r="H14" s="70">
        <f t="shared" si="0"/>
        <v>0.009333333333333334</v>
      </c>
      <c r="I14" s="70">
        <f t="shared" si="0"/>
        <v>0.014000000000000002</v>
      </c>
      <c r="J14" s="70">
        <f t="shared" si="0"/>
        <v>0.018666666666666668</v>
      </c>
      <c r="K14" s="70">
        <f t="shared" si="0"/>
        <v>0.023333333333333334</v>
      </c>
      <c r="L14" s="70">
        <f t="shared" si="0"/>
        <v>0.028000000000000004</v>
      </c>
      <c r="M14" s="70">
        <f t="shared" si="0"/>
        <v>0.03266666666666667</v>
      </c>
      <c r="N14" s="70">
        <f t="shared" si="0"/>
        <v>0.037333333333333336</v>
      </c>
      <c r="O14" s="70">
        <f t="shared" si="0"/>
        <v>0.042</v>
      </c>
      <c r="P14" s="70">
        <f t="shared" si="0"/>
        <v>0.04666666666666667</v>
      </c>
      <c r="Q14" s="70">
        <f t="shared" si="0"/>
        <v>0.051333333333333335</v>
      </c>
      <c r="R14" s="70">
        <f t="shared" si="0"/>
        <v>0.05600000000000001</v>
      </c>
      <c r="S14" s="70">
        <f t="shared" si="0"/>
        <v>0.060666666666666674</v>
      </c>
      <c r="T14" s="70">
        <f t="shared" si="0"/>
        <v>0.06533333333333334</v>
      </c>
      <c r="U14" s="70">
        <f t="shared" si="0"/>
        <v>0.07</v>
      </c>
      <c r="V14" s="70">
        <f t="shared" si="0"/>
        <v>0.07466666666666667</v>
      </c>
      <c r="W14" s="70">
        <f t="shared" si="1"/>
        <v>0.07933333333333334</v>
      </c>
      <c r="X14" s="70">
        <f t="shared" si="1"/>
        <v>0.084</v>
      </c>
      <c r="Y14" s="70">
        <f t="shared" si="1"/>
        <v>0.08866666666666667</v>
      </c>
      <c r="Z14" s="70">
        <f t="shared" si="1"/>
        <v>0.09333333333333334</v>
      </c>
    </row>
    <row r="15" spans="4:26" ht="12.75">
      <c r="D15" s="39"/>
      <c r="E15" s="71">
        <f t="shared" si="2"/>
        <v>19.5</v>
      </c>
      <c r="F15" s="72">
        <v>13</v>
      </c>
      <c r="G15" s="70">
        <f t="shared" si="0"/>
        <v>0.0043076923076923075</v>
      </c>
      <c r="H15" s="70">
        <f t="shared" si="0"/>
        <v>0.008615384615384615</v>
      </c>
      <c r="I15" s="70">
        <f t="shared" si="0"/>
        <v>0.012923076923076923</v>
      </c>
      <c r="J15" s="70">
        <f t="shared" si="0"/>
        <v>0.01723076923076923</v>
      </c>
      <c r="K15" s="70">
        <f t="shared" si="0"/>
        <v>0.021538461538461538</v>
      </c>
      <c r="L15" s="70">
        <f t="shared" si="0"/>
        <v>0.025846153846153845</v>
      </c>
      <c r="M15" s="70">
        <f t="shared" si="0"/>
        <v>0.030153846153846153</v>
      </c>
      <c r="N15" s="70">
        <f t="shared" si="0"/>
        <v>0.03446153846153846</v>
      </c>
      <c r="O15" s="70">
        <f t="shared" si="0"/>
        <v>0.038769230769230764</v>
      </c>
      <c r="P15" s="70">
        <f t="shared" si="0"/>
        <v>0.043076923076923075</v>
      </c>
      <c r="Q15" s="70">
        <f t="shared" si="0"/>
        <v>0.047384615384615386</v>
      </c>
      <c r="R15" s="70">
        <f t="shared" si="0"/>
        <v>0.05169230769230769</v>
      </c>
      <c r="S15" s="70">
        <f t="shared" si="0"/>
        <v>0.055999999999999994</v>
      </c>
      <c r="T15" s="70">
        <f t="shared" si="0"/>
        <v>0.060307692307692305</v>
      </c>
      <c r="U15" s="70">
        <f t="shared" si="0"/>
        <v>0.06461538461538462</v>
      </c>
      <c r="V15" s="70">
        <f t="shared" si="0"/>
        <v>0.06892307692307692</v>
      </c>
      <c r="W15" s="70">
        <f t="shared" si="1"/>
        <v>0.07323076923076922</v>
      </c>
      <c r="X15" s="70">
        <f t="shared" si="1"/>
        <v>0.07753846153846153</v>
      </c>
      <c r="Y15" s="70">
        <f t="shared" si="1"/>
        <v>0.08184615384615385</v>
      </c>
      <c r="Z15" s="70">
        <f t="shared" si="1"/>
        <v>0.08615384615384615</v>
      </c>
    </row>
    <row r="16" spans="1:26" ht="12.75">
      <c r="A16" s="39" t="s">
        <v>88</v>
      </c>
      <c r="B16" s="73">
        <v>0.056</v>
      </c>
      <c r="C16" s="50" t="s">
        <v>66</v>
      </c>
      <c r="E16" s="71">
        <f t="shared" si="2"/>
        <v>21</v>
      </c>
      <c r="F16" s="72">
        <v>14</v>
      </c>
      <c r="G16" s="70">
        <f t="shared" si="0"/>
        <v>0.004</v>
      </c>
      <c r="H16" s="70">
        <f t="shared" si="0"/>
        <v>0.008</v>
      </c>
      <c r="I16" s="70">
        <f t="shared" si="0"/>
        <v>0.012</v>
      </c>
      <c r="J16" s="70">
        <f t="shared" si="0"/>
        <v>0.016</v>
      </c>
      <c r="K16" s="70">
        <f t="shared" si="0"/>
        <v>0.02</v>
      </c>
      <c r="L16" s="70">
        <f t="shared" si="0"/>
        <v>0.024</v>
      </c>
      <c r="M16" s="70">
        <f t="shared" si="0"/>
        <v>0.028</v>
      </c>
      <c r="N16" s="70">
        <f t="shared" si="0"/>
        <v>0.032</v>
      </c>
      <c r="O16" s="70">
        <f t="shared" si="0"/>
        <v>0.036000000000000004</v>
      </c>
      <c r="P16" s="70">
        <f t="shared" si="0"/>
        <v>0.04</v>
      </c>
      <c r="Q16" s="70">
        <f t="shared" si="0"/>
        <v>0.044</v>
      </c>
      <c r="R16" s="70">
        <f t="shared" si="0"/>
        <v>0.048</v>
      </c>
      <c r="S16" s="70">
        <f t="shared" si="0"/>
        <v>0.052000000000000005</v>
      </c>
      <c r="T16" s="70">
        <f t="shared" si="0"/>
        <v>0.056</v>
      </c>
      <c r="U16" s="70">
        <f t="shared" si="0"/>
        <v>0.06</v>
      </c>
      <c r="V16" s="70">
        <f t="shared" si="0"/>
        <v>0.064</v>
      </c>
      <c r="W16" s="70">
        <f t="shared" si="1"/>
        <v>0.068</v>
      </c>
      <c r="X16" s="70">
        <f t="shared" si="1"/>
        <v>0.07200000000000001</v>
      </c>
      <c r="Y16" s="70">
        <f t="shared" si="1"/>
        <v>0.076</v>
      </c>
      <c r="Z16" s="70">
        <f t="shared" si="1"/>
        <v>0.08</v>
      </c>
    </row>
    <row r="17" spans="1:26" ht="12.75">
      <c r="A17" s="39" t="s">
        <v>89</v>
      </c>
      <c r="B17" s="51">
        <v>1500</v>
      </c>
      <c r="C17" s="39" t="s">
        <v>90</v>
      </c>
      <c r="E17" s="71">
        <f t="shared" si="2"/>
        <v>22.5</v>
      </c>
      <c r="F17" s="72">
        <v>15</v>
      </c>
      <c r="G17" s="70">
        <f t="shared" si="0"/>
        <v>0.0037333333333333333</v>
      </c>
      <c r="H17" s="70">
        <f t="shared" si="0"/>
        <v>0.007466666666666667</v>
      </c>
      <c r="I17" s="70">
        <f t="shared" si="0"/>
        <v>0.0112</v>
      </c>
      <c r="J17" s="70">
        <f t="shared" si="0"/>
        <v>0.014933333333333333</v>
      </c>
      <c r="K17" s="70">
        <f t="shared" si="0"/>
        <v>0.018666666666666665</v>
      </c>
      <c r="L17" s="70">
        <f t="shared" si="0"/>
        <v>0.0224</v>
      </c>
      <c r="M17" s="70">
        <f t="shared" si="0"/>
        <v>0.026133333333333335</v>
      </c>
      <c r="N17" s="70">
        <f t="shared" si="0"/>
        <v>0.029866666666666666</v>
      </c>
      <c r="O17" s="70">
        <f t="shared" si="0"/>
        <v>0.0336</v>
      </c>
      <c r="P17" s="70">
        <f aca="true" t="shared" si="3" ref="P17:V18">($B$16/$F17)*P$2</f>
        <v>0.03733333333333333</v>
      </c>
      <c r="Q17" s="70">
        <f t="shared" si="3"/>
        <v>0.04106666666666667</v>
      </c>
      <c r="R17" s="70">
        <f t="shared" si="3"/>
        <v>0.0448</v>
      </c>
      <c r="S17" s="70">
        <f t="shared" si="3"/>
        <v>0.04853333333333333</v>
      </c>
      <c r="T17" s="70">
        <f t="shared" si="3"/>
        <v>0.05226666666666667</v>
      </c>
      <c r="U17" s="70">
        <f t="shared" si="3"/>
        <v>0.056</v>
      </c>
      <c r="V17" s="70">
        <f t="shared" si="3"/>
        <v>0.05973333333333333</v>
      </c>
      <c r="W17" s="70">
        <f t="shared" si="1"/>
        <v>0.06346666666666667</v>
      </c>
      <c r="X17" s="70">
        <f t="shared" si="1"/>
        <v>0.0672</v>
      </c>
      <c r="Y17" s="70">
        <f t="shared" si="1"/>
        <v>0.07093333333333333</v>
      </c>
      <c r="Z17" s="70">
        <f t="shared" si="1"/>
        <v>0.07466666666666666</v>
      </c>
    </row>
    <row r="18" spans="5:26" ht="12.75">
      <c r="E18" s="71">
        <f t="shared" si="2"/>
        <v>24</v>
      </c>
      <c r="F18" s="72">
        <v>16</v>
      </c>
      <c r="G18" s="70">
        <f t="shared" si="0"/>
        <v>0.0035</v>
      </c>
      <c r="H18" s="70">
        <f t="shared" si="0"/>
        <v>0.007</v>
      </c>
      <c r="I18" s="70">
        <f t="shared" si="0"/>
        <v>0.0105</v>
      </c>
      <c r="J18" s="70">
        <f t="shared" si="0"/>
        <v>0.014</v>
      </c>
      <c r="K18" s="70">
        <f t="shared" si="0"/>
        <v>0.0175</v>
      </c>
      <c r="L18" s="70">
        <f t="shared" si="0"/>
        <v>0.021</v>
      </c>
      <c r="M18" s="70">
        <f t="shared" si="0"/>
        <v>0.0245</v>
      </c>
      <c r="N18" s="70">
        <f t="shared" si="0"/>
        <v>0.028</v>
      </c>
      <c r="O18" s="70">
        <f t="shared" si="0"/>
        <v>0.0315</v>
      </c>
      <c r="P18" s="70">
        <f t="shared" si="3"/>
        <v>0.035</v>
      </c>
      <c r="Q18" s="70">
        <f t="shared" si="3"/>
        <v>0.0385</v>
      </c>
      <c r="R18" s="70">
        <f t="shared" si="3"/>
        <v>0.042</v>
      </c>
      <c r="S18" s="70">
        <f t="shared" si="3"/>
        <v>0.0455</v>
      </c>
      <c r="T18" s="70">
        <f t="shared" si="3"/>
        <v>0.049</v>
      </c>
      <c r="U18" s="70">
        <f t="shared" si="3"/>
        <v>0.0525</v>
      </c>
      <c r="V18" s="70">
        <f t="shared" si="3"/>
        <v>0.056</v>
      </c>
      <c r="W18" s="70">
        <f t="shared" si="1"/>
        <v>0.059500000000000004</v>
      </c>
      <c r="X18" s="70">
        <f t="shared" si="1"/>
        <v>0.063</v>
      </c>
      <c r="Y18" s="70">
        <f t="shared" si="1"/>
        <v>0.0665</v>
      </c>
      <c r="Z18" s="70">
        <f t="shared" si="1"/>
        <v>0.07</v>
      </c>
    </row>
    <row r="19" spans="1:26" ht="12.75">
      <c r="A19" s="39" t="s">
        <v>101</v>
      </c>
      <c r="B19" s="51">
        <v>12000</v>
      </c>
      <c r="C19" s="52" t="s">
        <v>90</v>
      </c>
      <c r="D19" s="39"/>
      <c r="E19" s="71">
        <f t="shared" si="2"/>
        <v>25.5</v>
      </c>
      <c r="F19" s="72">
        <v>17</v>
      </c>
      <c r="G19" s="70">
        <f t="shared" si="0"/>
        <v>0.0032941176470588237</v>
      </c>
      <c r="H19" s="70">
        <f t="shared" si="0"/>
        <v>0.006588235294117647</v>
      </c>
      <c r="I19" s="70">
        <f t="shared" si="0"/>
        <v>0.00988235294117647</v>
      </c>
      <c r="J19" s="70">
        <f t="shared" si="0"/>
        <v>0.013176470588235295</v>
      </c>
      <c r="K19" s="70">
        <f t="shared" si="0"/>
        <v>0.01647058823529412</v>
      </c>
      <c r="L19" s="70">
        <f t="shared" si="0"/>
        <v>0.01976470588235294</v>
      </c>
      <c r="M19" s="70">
        <f t="shared" si="0"/>
        <v>0.023058823529411767</v>
      </c>
      <c r="N19" s="70">
        <f t="shared" si="0"/>
        <v>0.02635294117647059</v>
      </c>
      <c r="O19" s="70">
        <f t="shared" si="0"/>
        <v>0.029647058823529412</v>
      </c>
      <c r="P19" s="70">
        <f t="shared" si="0"/>
        <v>0.03294117647058824</v>
      </c>
      <c r="Q19" s="70">
        <f t="shared" si="0"/>
        <v>0.03623529411764706</v>
      </c>
      <c r="R19" s="70">
        <f t="shared" si="0"/>
        <v>0.03952941176470588</v>
      </c>
      <c r="S19" s="70">
        <f t="shared" si="0"/>
        <v>0.042823529411764705</v>
      </c>
      <c r="T19" s="70">
        <f aca="true" t="shared" si="4" ref="P19:Z34">($B$16/$F19)*T$2</f>
        <v>0.046117647058823534</v>
      </c>
      <c r="U19" s="70">
        <f t="shared" si="4"/>
        <v>0.049411764705882356</v>
      </c>
      <c r="V19" s="70">
        <f t="shared" si="4"/>
        <v>0.05270588235294118</v>
      </c>
      <c r="W19" s="70">
        <f t="shared" si="4"/>
        <v>0.056</v>
      </c>
      <c r="X19" s="70">
        <f t="shared" si="4"/>
        <v>0.059294117647058824</v>
      </c>
      <c r="Y19" s="70">
        <f t="shared" si="4"/>
        <v>0.06258823529411765</v>
      </c>
      <c r="Z19" s="70">
        <f t="shared" si="4"/>
        <v>0.06588235294117648</v>
      </c>
    </row>
    <row r="20" spans="3:26" ht="12.75">
      <c r="C20" s="53"/>
      <c r="D20" s="39"/>
      <c r="E20" s="71">
        <f t="shared" si="2"/>
        <v>27</v>
      </c>
      <c r="F20" s="72">
        <v>18</v>
      </c>
      <c r="G20" s="70">
        <f aca="true" t="shared" si="5" ref="G20:V41">($B$16/$F20)*G$2</f>
        <v>0.0031111111111111114</v>
      </c>
      <c r="H20" s="70">
        <f t="shared" si="5"/>
        <v>0.006222222222222223</v>
      </c>
      <c r="I20" s="70">
        <f t="shared" si="5"/>
        <v>0.009333333333333334</v>
      </c>
      <c r="J20" s="70">
        <f t="shared" si="5"/>
        <v>0.012444444444444445</v>
      </c>
      <c r="K20" s="70">
        <f t="shared" si="5"/>
        <v>0.015555555555555557</v>
      </c>
      <c r="L20" s="70">
        <f t="shared" si="5"/>
        <v>0.018666666666666668</v>
      </c>
      <c r="M20" s="70">
        <f t="shared" si="5"/>
        <v>0.021777777777777778</v>
      </c>
      <c r="N20" s="70">
        <f t="shared" si="5"/>
        <v>0.02488888888888889</v>
      </c>
      <c r="O20" s="70">
        <f t="shared" si="5"/>
        <v>0.028000000000000004</v>
      </c>
      <c r="P20" s="70">
        <f t="shared" si="4"/>
        <v>0.031111111111111114</v>
      </c>
      <c r="Q20" s="70">
        <f t="shared" si="4"/>
        <v>0.03422222222222222</v>
      </c>
      <c r="R20" s="70">
        <f t="shared" si="4"/>
        <v>0.037333333333333336</v>
      </c>
      <c r="S20" s="70">
        <f t="shared" si="4"/>
        <v>0.04044444444444445</v>
      </c>
      <c r="T20" s="70">
        <f t="shared" si="4"/>
        <v>0.043555555555555556</v>
      </c>
      <c r="U20" s="70">
        <f t="shared" si="4"/>
        <v>0.04666666666666667</v>
      </c>
      <c r="V20" s="70">
        <f t="shared" si="4"/>
        <v>0.04977777777777778</v>
      </c>
      <c r="W20" s="70">
        <f t="shared" si="4"/>
        <v>0.052888888888888895</v>
      </c>
      <c r="X20" s="70">
        <f t="shared" si="4"/>
        <v>0.05600000000000001</v>
      </c>
      <c r="Y20" s="70">
        <f t="shared" si="4"/>
        <v>0.059111111111111114</v>
      </c>
      <c r="Z20" s="70">
        <f t="shared" si="4"/>
        <v>0.06222222222222223</v>
      </c>
    </row>
    <row r="21" spans="1:26" ht="12.75">
      <c r="A21" s="39" t="s">
        <v>91</v>
      </c>
      <c r="B21" s="49">
        <v>0.03</v>
      </c>
      <c r="C21" s="39" t="s">
        <v>66</v>
      </c>
      <c r="D21" s="39"/>
      <c r="E21" s="71">
        <f t="shared" si="2"/>
        <v>28.5</v>
      </c>
      <c r="F21" s="72">
        <v>19</v>
      </c>
      <c r="G21" s="70">
        <f t="shared" si="5"/>
        <v>0.0029473684210526317</v>
      </c>
      <c r="H21" s="70">
        <f t="shared" si="5"/>
        <v>0.005894736842105263</v>
      </c>
      <c r="I21" s="70">
        <f t="shared" si="5"/>
        <v>0.008842105263157894</v>
      </c>
      <c r="J21" s="70">
        <f t="shared" si="5"/>
        <v>0.011789473684210527</v>
      </c>
      <c r="K21" s="70">
        <f t="shared" si="5"/>
        <v>0.01473684210526316</v>
      </c>
      <c r="L21" s="70">
        <f t="shared" si="5"/>
        <v>0.01768421052631579</v>
      </c>
      <c r="M21" s="70">
        <f t="shared" si="5"/>
        <v>0.02063157894736842</v>
      </c>
      <c r="N21" s="70">
        <f t="shared" si="5"/>
        <v>0.023578947368421053</v>
      </c>
      <c r="O21" s="70">
        <f t="shared" si="5"/>
        <v>0.026526315789473686</v>
      </c>
      <c r="P21" s="70">
        <f t="shared" si="4"/>
        <v>0.02947368421052632</v>
      </c>
      <c r="Q21" s="70">
        <f t="shared" si="4"/>
        <v>0.03242105263157895</v>
      </c>
      <c r="R21" s="70">
        <f t="shared" si="4"/>
        <v>0.03536842105263158</v>
      </c>
      <c r="S21" s="70">
        <f t="shared" si="4"/>
        <v>0.03831578947368421</v>
      </c>
      <c r="T21" s="70">
        <f t="shared" si="4"/>
        <v>0.04126315789473684</v>
      </c>
      <c r="U21" s="70">
        <f t="shared" si="4"/>
        <v>0.04421052631578948</v>
      </c>
      <c r="V21" s="70">
        <f t="shared" si="4"/>
        <v>0.04715789473684211</v>
      </c>
      <c r="W21" s="70">
        <f t="shared" si="4"/>
        <v>0.050105263157894736</v>
      </c>
      <c r="X21" s="70">
        <f t="shared" si="4"/>
        <v>0.05305263157894737</v>
      </c>
      <c r="Y21" s="70">
        <f t="shared" si="4"/>
        <v>0.056</v>
      </c>
      <c r="Z21" s="70">
        <f t="shared" si="4"/>
        <v>0.05894736842105264</v>
      </c>
    </row>
    <row r="22" spans="1:26" ht="12.75">
      <c r="A22" s="39" t="s">
        <v>92</v>
      </c>
      <c r="B22" s="54">
        <v>0.1</v>
      </c>
      <c r="C22" s="39"/>
      <c r="D22" s="39"/>
      <c r="E22" s="71">
        <f t="shared" si="2"/>
        <v>30</v>
      </c>
      <c r="F22" s="72">
        <v>20</v>
      </c>
      <c r="G22" s="70">
        <f t="shared" si="5"/>
        <v>0.0028</v>
      </c>
      <c r="H22" s="70">
        <f t="shared" si="5"/>
        <v>0.0056</v>
      </c>
      <c r="I22" s="70">
        <f t="shared" si="5"/>
        <v>0.0084</v>
      </c>
      <c r="J22" s="70">
        <f t="shared" si="5"/>
        <v>0.0112</v>
      </c>
      <c r="K22" s="70">
        <f t="shared" si="5"/>
        <v>0.014</v>
      </c>
      <c r="L22" s="70">
        <f t="shared" si="5"/>
        <v>0.0168</v>
      </c>
      <c r="M22" s="70">
        <f t="shared" si="5"/>
        <v>0.0196</v>
      </c>
      <c r="N22" s="70">
        <f t="shared" si="5"/>
        <v>0.0224</v>
      </c>
      <c r="O22" s="70">
        <f t="shared" si="5"/>
        <v>0.0252</v>
      </c>
      <c r="P22" s="70">
        <f t="shared" si="4"/>
        <v>0.028</v>
      </c>
      <c r="Q22" s="70">
        <f t="shared" si="4"/>
        <v>0.0308</v>
      </c>
      <c r="R22" s="70">
        <f t="shared" si="4"/>
        <v>0.0336</v>
      </c>
      <c r="S22" s="70">
        <f t="shared" si="4"/>
        <v>0.0364</v>
      </c>
      <c r="T22" s="70">
        <f t="shared" si="4"/>
        <v>0.0392</v>
      </c>
      <c r="U22" s="70">
        <f t="shared" si="4"/>
        <v>0.042</v>
      </c>
      <c r="V22" s="70">
        <f t="shared" si="4"/>
        <v>0.0448</v>
      </c>
      <c r="W22" s="70">
        <f t="shared" si="4"/>
        <v>0.047599999999999996</v>
      </c>
      <c r="X22" s="70">
        <f t="shared" si="4"/>
        <v>0.0504</v>
      </c>
      <c r="Y22" s="70">
        <f t="shared" si="4"/>
        <v>0.0532</v>
      </c>
      <c r="Z22" s="70">
        <f t="shared" si="4"/>
        <v>0.056</v>
      </c>
    </row>
    <row r="23" spans="1:26" ht="12.75">
      <c r="A23" s="39"/>
      <c r="B23" s="39"/>
      <c r="C23" s="39"/>
      <c r="D23" s="39"/>
      <c r="E23" s="71">
        <f t="shared" si="2"/>
        <v>31.5</v>
      </c>
      <c r="F23" s="72">
        <v>21</v>
      </c>
      <c r="G23" s="70">
        <f t="shared" si="5"/>
        <v>0.0026666666666666666</v>
      </c>
      <c r="H23" s="70">
        <f t="shared" si="5"/>
        <v>0.005333333333333333</v>
      </c>
      <c r="I23" s="70">
        <f t="shared" si="5"/>
        <v>0.008</v>
      </c>
      <c r="J23" s="70">
        <f t="shared" si="5"/>
        <v>0.010666666666666666</v>
      </c>
      <c r="K23" s="70">
        <f t="shared" si="5"/>
        <v>0.013333333333333332</v>
      </c>
      <c r="L23" s="70">
        <f t="shared" si="5"/>
        <v>0.016</v>
      </c>
      <c r="M23" s="70">
        <f t="shared" si="5"/>
        <v>0.018666666666666665</v>
      </c>
      <c r="N23" s="70">
        <f t="shared" si="5"/>
        <v>0.021333333333333333</v>
      </c>
      <c r="O23" s="70">
        <f t="shared" si="5"/>
        <v>0.024</v>
      </c>
      <c r="P23" s="70">
        <f t="shared" si="4"/>
        <v>0.026666666666666665</v>
      </c>
      <c r="Q23" s="70">
        <f t="shared" si="4"/>
        <v>0.029333333333333333</v>
      </c>
      <c r="R23" s="70">
        <f t="shared" si="4"/>
        <v>0.032</v>
      </c>
      <c r="S23" s="70">
        <f t="shared" si="4"/>
        <v>0.034666666666666665</v>
      </c>
      <c r="T23" s="70">
        <f t="shared" si="4"/>
        <v>0.03733333333333333</v>
      </c>
      <c r="U23" s="70">
        <f t="shared" si="4"/>
        <v>0.04</v>
      </c>
      <c r="V23" s="70">
        <f t="shared" si="4"/>
        <v>0.042666666666666665</v>
      </c>
      <c r="W23" s="70">
        <f t="shared" si="4"/>
        <v>0.04533333333333333</v>
      </c>
      <c r="X23" s="70">
        <f t="shared" si="4"/>
        <v>0.048</v>
      </c>
      <c r="Y23" s="70">
        <f t="shared" si="4"/>
        <v>0.050666666666666665</v>
      </c>
      <c r="Z23" s="70">
        <f t="shared" si="4"/>
        <v>0.05333333333333333</v>
      </c>
    </row>
    <row r="24" spans="1:26" ht="12.75">
      <c r="A24" s="39" t="s">
        <v>102</v>
      </c>
      <c r="B24" s="49">
        <v>100</v>
      </c>
      <c r="C24" s="39"/>
      <c r="D24" s="39"/>
      <c r="E24" s="71">
        <f t="shared" si="2"/>
        <v>33</v>
      </c>
      <c r="F24" s="72">
        <v>22</v>
      </c>
      <c r="G24" s="70">
        <f t="shared" si="5"/>
        <v>0.0025454545454545456</v>
      </c>
      <c r="H24" s="70">
        <f t="shared" si="5"/>
        <v>0.005090909090909091</v>
      </c>
      <c r="I24" s="70">
        <f t="shared" si="5"/>
        <v>0.007636363636363637</v>
      </c>
      <c r="J24" s="70">
        <f t="shared" si="5"/>
        <v>0.010181818181818183</v>
      </c>
      <c r="K24" s="70">
        <f t="shared" si="5"/>
        <v>0.012727272727272728</v>
      </c>
      <c r="L24" s="70">
        <f t="shared" si="5"/>
        <v>0.015272727272727275</v>
      </c>
      <c r="M24" s="70">
        <f t="shared" si="5"/>
        <v>0.01781818181818182</v>
      </c>
      <c r="N24" s="70">
        <f t="shared" si="5"/>
        <v>0.020363636363636365</v>
      </c>
      <c r="O24" s="70">
        <f t="shared" si="5"/>
        <v>0.02290909090909091</v>
      </c>
      <c r="P24" s="70">
        <f t="shared" si="4"/>
        <v>0.025454545454545455</v>
      </c>
      <c r="Q24" s="70">
        <f t="shared" si="4"/>
        <v>0.028</v>
      </c>
      <c r="R24" s="70">
        <f t="shared" si="4"/>
        <v>0.03054545454545455</v>
      </c>
      <c r="S24" s="70">
        <f t="shared" si="4"/>
        <v>0.033090909090909094</v>
      </c>
      <c r="T24" s="70">
        <f t="shared" si="4"/>
        <v>0.03563636363636364</v>
      </c>
      <c r="U24" s="70">
        <f t="shared" si="4"/>
        <v>0.038181818181818185</v>
      </c>
      <c r="V24" s="70">
        <f t="shared" si="4"/>
        <v>0.04072727272727273</v>
      </c>
      <c r="W24" s="70">
        <f t="shared" si="4"/>
        <v>0.043272727272727275</v>
      </c>
      <c r="X24" s="70">
        <f t="shared" si="4"/>
        <v>0.04581818181818182</v>
      </c>
      <c r="Y24" s="70">
        <f t="shared" si="4"/>
        <v>0.048363636363636366</v>
      </c>
      <c r="Z24" s="70">
        <f t="shared" si="4"/>
        <v>0.05090909090909091</v>
      </c>
    </row>
    <row r="25" spans="4:26" ht="12.75">
      <c r="D25" s="39"/>
      <c r="E25" s="71">
        <f t="shared" si="2"/>
        <v>34.5</v>
      </c>
      <c r="F25" s="72">
        <v>23</v>
      </c>
      <c r="G25" s="70">
        <f t="shared" si="5"/>
        <v>0.0024347826086956524</v>
      </c>
      <c r="H25" s="70">
        <f t="shared" si="5"/>
        <v>0.004869565217391305</v>
      </c>
      <c r="I25" s="70">
        <f t="shared" si="5"/>
        <v>0.007304347826086957</v>
      </c>
      <c r="J25" s="70">
        <f t="shared" si="5"/>
        <v>0.00973913043478261</v>
      </c>
      <c r="K25" s="70">
        <f t="shared" si="5"/>
        <v>0.012173913043478262</v>
      </c>
      <c r="L25" s="70">
        <f t="shared" si="5"/>
        <v>0.014608695652173913</v>
      </c>
      <c r="M25" s="70">
        <f t="shared" si="5"/>
        <v>0.017043478260869566</v>
      </c>
      <c r="N25" s="70">
        <f t="shared" si="5"/>
        <v>0.01947826086956522</v>
      </c>
      <c r="O25" s="70">
        <f t="shared" si="5"/>
        <v>0.021913043478260872</v>
      </c>
      <c r="P25" s="70">
        <f t="shared" si="4"/>
        <v>0.024347826086956525</v>
      </c>
      <c r="Q25" s="70">
        <f t="shared" si="4"/>
        <v>0.026782608695652178</v>
      </c>
      <c r="R25" s="70">
        <f t="shared" si="4"/>
        <v>0.029217391304347827</v>
      </c>
      <c r="S25" s="70">
        <f t="shared" si="4"/>
        <v>0.03165217391304348</v>
      </c>
      <c r="T25" s="70">
        <f t="shared" si="4"/>
        <v>0.03408695652173913</v>
      </c>
      <c r="U25" s="70">
        <f t="shared" si="4"/>
        <v>0.036521739130434785</v>
      </c>
      <c r="V25" s="70">
        <f t="shared" si="4"/>
        <v>0.03895652173913044</v>
      </c>
      <c r="W25" s="70">
        <f t="shared" si="4"/>
        <v>0.04139130434782609</v>
      </c>
      <c r="X25" s="70">
        <f t="shared" si="4"/>
        <v>0.043826086956521744</v>
      </c>
      <c r="Y25" s="70">
        <f t="shared" si="4"/>
        <v>0.0462608695652174</v>
      </c>
      <c r="Z25" s="70">
        <f t="shared" si="4"/>
        <v>0.04869565217391305</v>
      </c>
    </row>
    <row r="26" spans="4:26" ht="12.75">
      <c r="D26" s="39"/>
      <c r="E26" s="71">
        <f t="shared" si="2"/>
        <v>36</v>
      </c>
      <c r="F26" s="72">
        <v>24</v>
      </c>
      <c r="G26" s="70">
        <f t="shared" si="5"/>
        <v>0.0023333333333333335</v>
      </c>
      <c r="H26" s="70">
        <f t="shared" si="5"/>
        <v>0.004666666666666667</v>
      </c>
      <c r="I26" s="70">
        <f t="shared" si="5"/>
        <v>0.007000000000000001</v>
      </c>
      <c r="J26" s="70">
        <f t="shared" si="5"/>
        <v>0.009333333333333334</v>
      </c>
      <c r="K26" s="70">
        <f t="shared" si="5"/>
        <v>0.011666666666666667</v>
      </c>
      <c r="L26" s="70">
        <f t="shared" si="5"/>
        <v>0.014000000000000002</v>
      </c>
      <c r="M26" s="70">
        <f t="shared" si="5"/>
        <v>0.016333333333333335</v>
      </c>
      <c r="N26" s="70">
        <f t="shared" si="5"/>
        <v>0.018666666666666668</v>
      </c>
      <c r="O26" s="70">
        <f t="shared" si="5"/>
        <v>0.021</v>
      </c>
      <c r="P26" s="70">
        <f t="shared" si="4"/>
        <v>0.023333333333333334</v>
      </c>
      <c r="Q26" s="70">
        <f t="shared" si="4"/>
        <v>0.025666666666666667</v>
      </c>
      <c r="R26" s="70">
        <f t="shared" si="4"/>
        <v>0.028000000000000004</v>
      </c>
      <c r="S26" s="70">
        <f t="shared" si="4"/>
        <v>0.030333333333333337</v>
      </c>
      <c r="T26" s="70">
        <f t="shared" si="4"/>
        <v>0.03266666666666667</v>
      </c>
      <c r="U26" s="70">
        <f t="shared" si="4"/>
        <v>0.035</v>
      </c>
      <c r="V26" s="70">
        <f t="shared" si="4"/>
        <v>0.037333333333333336</v>
      </c>
      <c r="W26" s="70">
        <f t="shared" si="4"/>
        <v>0.03966666666666667</v>
      </c>
      <c r="X26" s="70">
        <f t="shared" si="4"/>
        <v>0.042</v>
      </c>
      <c r="Y26" s="70">
        <f t="shared" si="4"/>
        <v>0.044333333333333336</v>
      </c>
      <c r="Z26" s="70">
        <f t="shared" si="4"/>
        <v>0.04666666666666667</v>
      </c>
    </row>
    <row r="27" spans="1:26" ht="12.75">
      <c r="A27" s="111" t="s">
        <v>103</v>
      </c>
      <c r="B27" s="112"/>
      <c r="C27" s="113"/>
      <c r="D27" s="39"/>
      <c r="E27" s="71">
        <f t="shared" si="2"/>
        <v>37.5</v>
      </c>
      <c r="F27" s="72">
        <v>25</v>
      </c>
      <c r="G27" s="70">
        <f t="shared" si="5"/>
        <v>0.0022400000000000002</v>
      </c>
      <c r="H27" s="70">
        <f t="shared" si="5"/>
        <v>0.0044800000000000005</v>
      </c>
      <c r="I27" s="70">
        <f t="shared" si="5"/>
        <v>0.00672</v>
      </c>
      <c r="J27" s="70">
        <f t="shared" si="5"/>
        <v>0.008960000000000001</v>
      </c>
      <c r="K27" s="70">
        <f t="shared" si="5"/>
        <v>0.011200000000000002</v>
      </c>
      <c r="L27" s="70">
        <f t="shared" si="5"/>
        <v>0.01344</v>
      </c>
      <c r="M27" s="70">
        <f t="shared" si="5"/>
        <v>0.015680000000000003</v>
      </c>
      <c r="N27" s="70">
        <f t="shared" si="5"/>
        <v>0.017920000000000002</v>
      </c>
      <c r="O27" s="70">
        <f t="shared" si="5"/>
        <v>0.02016</v>
      </c>
      <c r="P27" s="70">
        <f t="shared" si="4"/>
        <v>0.022400000000000003</v>
      </c>
      <c r="Q27" s="70">
        <f t="shared" si="4"/>
        <v>0.024640000000000002</v>
      </c>
      <c r="R27" s="70">
        <f t="shared" si="4"/>
        <v>0.02688</v>
      </c>
      <c r="S27" s="70">
        <f t="shared" si="4"/>
        <v>0.029120000000000004</v>
      </c>
      <c r="T27" s="70">
        <f t="shared" si="4"/>
        <v>0.031360000000000006</v>
      </c>
      <c r="U27" s="70">
        <f t="shared" si="4"/>
        <v>0.033600000000000005</v>
      </c>
      <c r="V27" s="70">
        <f t="shared" si="4"/>
        <v>0.035840000000000004</v>
      </c>
      <c r="W27" s="70">
        <f t="shared" si="4"/>
        <v>0.03808</v>
      </c>
      <c r="X27" s="70">
        <f t="shared" si="4"/>
        <v>0.04032</v>
      </c>
      <c r="Y27" s="70">
        <f t="shared" si="4"/>
        <v>0.04256000000000001</v>
      </c>
      <c r="Z27" s="70">
        <f t="shared" si="4"/>
        <v>0.044800000000000006</v>
      </c>
    </row>
    <row r="28" spans="1:26" ht="12.75">
      <c r="A28" s="114" t="s">
        <v>104</v>
      </c>
      <c r="B28" s="115"/>
      <c r="C28" s="116"/>
      <c r="D28" s="39"/>
      <c r="E28" s="71">
        <f t="shared" si="2"/>
        <v>39</v>
      </c>
      <c r="F28" s="72">
        <v>26</v>
      </c>
      <c r="G28" s="70">
        <f t="shared" si="5"/>
        <v>0.0021538461538461538</v>
      </c>
      <c r="H28" s="70">
        <f t="shared" si="5"/>
        <v>0.0043076923076923075</v>
      </c>
      <c r="I28" s="70">
        <f t="shared" si="5"/>
        <v>0.006461538461538461</v>
      </c>
      <c r="J28" s="70">
        <f t="shared" si="5"/>
        <v>0.008615384615384615</v>
      </c>
      <c r="K28" s="70">
        <f t="shared" si="5"/>
        <v>0.010769230769230769</v>
      </c>
      <c r="L28" s="70">
        <f t="shared" si="5"/>
        <v>0.012923076923076923</v>
      </c>
      <c r="M28" s="70">
        <f t="shared" si="5"/>
        <v>0.015076923076923076</v>
      </c>
      <c r="N28" s="70">
        <f t="shared" si="5"/>
        <v>0.01723076923076923</v>
      </c>
      <c r="O28" s="70">
        <f t="shared" si="5"/>
        <v>0.019384615384615382</v>
      </c>
      <c r="P28" s="70">
        <f t="shared" si="4"/>
        <v>0.021538461538461538</v>
      </c>
      <c r="Q28" s="70">
        <f t="shared" si="4"/>
        <v>0.023692307692307693</v>
      </c>
      <c r="R28" s="70">
        <f t="shared" si="4"/>
        <v>0.025846153846153845</v>
      </c>
      <c r="S28" s="70">
        <f t="shared" si="4"/>
        <v>0.027999999999999997</v>
      </c>
      <c r="T28" s="70">
        <f t="shared" si="4"/>
        <v>0.030153846153846153</v>
      </c>
      <c r="U28" s="70">
        <f t="shared" si="4"/>
        <v>0.03230769230769231</v>
      </c>
      <c r="V28" s="70">
        <f t="shared" si="4"/>
        <v>0.03446153846153846</v>
      </c>
      <c r="W28" s="70">
        <f t="shared" si="4"/>
        <v>0.03661538461538461</v>
      </c>
      <c r="X28" s="70">
        <f t="shared" si="4"/>
        <v>0.038769230769230764</v>
      </c>
      <c r="Y28" s="70">
        <f t="shared" si="4"/>
        <v>0.04092307692307692</v>
      </c>
      <c r="Z28" s="70">
        <f t="shared" si="4"/>
        <v>0.043076923076923075</v>
      </c>
    </row>
    <row r="29" spans="1:26" ht="12.75">
      <c r="A29" s="117" t="s">
        <v>105</v>
      </c>
      <c r="B29" s="118"/>
      <c r="C29" s="119"/>
      <c r="D29" s="39"/>
      <c r="E29" s="71">
        <f t="shared" si="2"/>
        <v>40.5</v>
      </c>
      <c r="F29" s="72">
        <v>27</v>
      </c>
      <c r="G29" s="70">
        <f t="shared" si="5"/>
        <v>0.002074074074074074</v>
      </c>
      <c r="H29" s="70">
        <f t="shared" si="5"/>
        <v>0.004148148148148148</v>
      </c>
      <c r="I29" s="70">
        <f t="shared" si="5"/>
        <v>0.006222222222222223</v>
      </c>
      <c r="J29" s="70">
        <f t="shared" si="5"/>
        <v>0.008296296296296296</v>
      </c>
      <c r="K29" s="70">
        <f t="shared" si="5"/>
        <v>0.01037037037037037</v>
      </c>
      <c r="L29" s="70">
        <f t="shared" si="5"/>
        <v>0.012444444444444445</v>
      </c>
      <c r="M29" s="70">
        <f t="shared" si="5"/>
        <v>0.01451851851851852</v>
      </c>
      <c r="N29" s="70">
        <f t="shared" si="5"/>
        <v>0.016592592592592593</v>
      </c>
      <c r="O29" s="70">
        <f t="shared" si="5"/>
        <v>0.018666666666666668</v>
      </c>
      <c r="P29" s="70">
        <f t="shared" si="4"/>
        <v>0.02074074074074074</v>
      </c>
      <c r="Q29" s="70">
        <f t="shared" si="4"/>
        <v>0.022814814814814816</v>
      </c>
      <c r="R29" s="70">
        <f t="shared" si="4"/>
        <v>0.02488888888888889</v>
      </c>
      <c r="S29" s="70">
        <f t="shared" si="4"/>
        <v>0.026962962962962963</v>
      </c>
      <c r="T29" s="70">
        <f t="shared" si="4"/>
        <v>0.02903703703703704</v>
      </c>
      <c r="U29" s="70">
        <f t="shared" si="4"/>
        <v>0.03111111111111111</v>
      </c>
      <c r="V29" s="70">
        <f t="shared" si="4"/>
        <v>0.033185185185185186</v>
      </c>
      <c r="W29" s="70">
        <f t="shared" si="4"/>
        <v>0.03525925925925926</v>
      </c>
      <c r="X29" s="70">
        <f t="shared" si="4"/>
        <v>0.037333333333333336</v>
      </c>
      <c r="Y29" s="70">
        <f t="shared" si="4"/>
        <v>0.039407407407407405</v>
      </c>
      <c r="Z29" s="70">
        <f t="shared" si="4"/>
        <v>0.04148148148148148</v>
      </c>
    </row>
    <row r="30" spans="4:26" ht="12.75">
      <c r="D30" s="39"/>
      <c r="E30" s="71">
        <f t="shared" si="2"/>
        <v>42</v>
      </c>
      <c r="F30" s="72">
        <v>28</v>
      </c>
      <c r="G30" s="70">
        <f t="shared" si="5"/>
        <v>0.002</v>
      </c>
      <c r="H30" s="70">
        <f t="shared" si="5"/>
        <v>0.004</v>
      </c>
      <c r="I30" s="70">
        <f t="shared" si="5"/>
        <v>0.006</v>
      </c>
      <c r="J30" s="70">
        <f t="shared" si="5"/>
        <v>0.008</v>
      </c>
      <c r="K30" s="70">
        <f t="shared" si="5"/>
        <v>0.01</v>
      </c>
      <c r="L30" s="70">
        <f t="shared" si="5"/>
        <v>0.012</v>
      </c>
      <c r="M30" s="70">
        <f t="shared" si="5"/>
        <v>0.014</v>
      </c>
      <c r="N30" s="70">
        <f t="shared" si="5"/>
        <v>0.016</v>
      </c>
      <c r="O30" s="70">
        <f t="shared" si="5"/>
        <v>0.018000000000000002</v>
      </c>
      <c r="P30" s="70">
        <f t="shared" si="4"/>
        <v>0.02</v>
      </c>
      <c r="Q30" s="70">
        <f t="shared" si="4"/>
        <v>0.022</v>
      </c>
      <c r="R30" s="70">
        <f t="shared" si="4"/>
        <v>0.024</v>
      </c>
      <c r="S30" s="70">
        <f t="shared" si="4"/>
        <v>0.026000000000000002</v>
      </c>
      <c r="T30" s="70">
        <f t="shared" si="4"/>
        <v>0.028</v>
      </c>
      <c r="U30" s="70">
        <f t="shared" si="4"/>
        <v>0.03</v>
      </c>
      <c r="V30" s="70">
        <f t="shared" si="4"/>
        <v>0.032</v>
      </c>
      <c r="W30" s="70">
        <f t="shared" si="4"/>
        <v>0.034</v>
      </c>
      <c r="X30" s="70">
        <f t="shared" si="4"/>
        <v>0.036000000000000004</v>
      </c>
      <c r="Y30" s="70">
        <f t="shared" si="4"/>
        <v>0.038</v>
      </c>
      <c r="Z30" s="70">
        <f t="shared" si="4"/>
        <v>0.04</v>
      </c>
    </row>
    <row r="31" spans="4:26" ht="12.75">
      <c r="D31" s="39"/>
      <c r="E31" s="71">
        <f t="shared" si="2"/>
        <v>43.5</v>
      </c>
      <c r="F31" s="72">
        <v>29</v>
      </c>
      <c r="G31" s="70">
        <f t="shared" si="5"/>
        <v>0.0019310344827586207</v>
      </c>
      <c r="H31" s="70">
        <f t="shared" si="5"/>
        <v>0.0038620689655172414</v>
      </c>
      <c r="I31" s="70">
        <f t="shared" si="5"/>
        <v>0.005793103448275862</v>
      </c>
      <c r="J31" s="70">
        <f t="shared" si="5"/>
        <v>0.007724137931034483</v>
      </c>
      <c r="K31" s="70">
        <f t="shared" si="5"/>
        <v>0.009655172413793104</v>
      </c>
      <c r="L31" s="70">
        <f t="shared" si="5"/>
        <v>0.011586206896551723</v>
      </c>
      <c r="M31" s="70">
        <f t="shared" si="5"/>
        <v>0.013517241379310345</v>
      </c>
      <c r="N31" s="70">
        <f t="shared" si="5"/>
        <v>0.015448275862068966</v>
      </c>
      <c r="O31" s="70">
        <f t="shared" si="5"/>
        <v>0.017379310344827585</v>
      </c>
      <c r="P31" s="70">
        <f t="shared" si="4"/>
        <v>0.019310344827586208</v>
      </c>
      <c r="Q31" s="70">
        <f t="shared" si="4"/>
        <v>0.021241379310344827</v>
      </c>
      <c r="R31" s="70">
        <f t="shared" si="4"/>
        <v>0.023172413793103447</v>
      </c>
      <c r="S31" s="70">
        <f t="shared" si="4"/>
        <v>0.02510344827586207</v>
      </c>
      <c r="T31" s="70">
        <f t="shared" si="4"/>
        <v>0.02703448275862069</v>
      </c>
      <c r="U31" s="70">
        <f t="shared" si="4"/>
        <v>0.028965517241379312</v>
      </c>
      <c r="V31" s="70">
        <f t="shared" si="4"/>
        <v>0.03089655172413793</v>
      </c>
      <c r="W31" s="70">
        <f t="shared" si="4"/>
        <v>0.032827586206896554</v>
      </c>
      <c r="X31" s="70">
        <f t="shared" si="4"/>
        <v>0.03475862068965517</v>
      </c>
      <c r="Y31" s="70">
        <f t="shared" si="4"/>
        <v>0.03668965517241379</v>
      </c>
      <c r="Z31" s="70">
        <f t="shared" si="4"/>
        <v>0.038620689655172416</v>
      </c>
    </row>
    <row r="32" spans="4:26" ht="12.75">
      <c r="D32" s="39"/>
      <c r="E32" s="71">
        <f t="shared" si="2"/>
        <v>45</v>
      </c>
      <c r="F32" s="72">
        <v>30</v>
      </c>
      <c r="G32" s="70">
        <f t="shared" si="5"/>
        <v>0.0018666666666666666</v>
      </c>
      <c r="H32" s="70">
        <f t="shared" si="5"/>
        <v>0.0037333333333333333</v>
      </c>
      <c r="I32" s="70">
        <f t="shared" si="5"/>
        <v>0.0056</v>
      </c>
      <c r="J32" s="70">
        <f t="shared" si="5"/>
        <v>0.007466666666666667</v>
      </c>
      <c r="K32" s="70">
        <f t="shared" si="5"/>
        <v>0.009333333333333332</v>
      </c>
      <c r="L32" s="70">
        <f t="shared" si="5"/>
        <v>0.0112</v>
      </c>
      <c r="M32" s="70">
        <f t="shared" si="5"/>
        <v>0.013066666666666667</v>
      </c>
      <c r="N32" s="70">
        <f t="shared" si="5"/>
        <v>0.014933333333333333</v>
      </c>
      <c r="O32" s="70">
        <f t="shared" si="5"/>
        <v>0.0168</v>
      </c>
      <c r="P32" s="70">
        <f t="shared" si="4"/>
        <v>0.018666666666666665</v>
      </c>
      <c r="Q32" s="70">
        <f t="shared" si="4"/>
        <v>0.020533333333333334</v>
      </c>
      <c r="R32" s="70">
        <f t="shared" si="4"/>
        <v>0.0224</v>
      </c>
      <c r="S32" s="70">
        <f t="shared" si="4"/>
        <v>0.024266666666666666</v>
      </c>
      <c r="T32" s="70">
        <f t="shared" si="4"/>
        <v>0.026133333333333335</v>
      </c>
      <c r="U32" s="70">
        <f t="shared" si="4"/>
        <v>0.028</v>
      </c>
      <c r="V32" s="70">
        <f t="shared" si="4"/>
        <v>0.029866666666666666</v>
      </c>
      <c r="W32" s="70">
        <f t="shared" si="4"/>
        <v>0.031733333333333336</v>
      </c>
      <c r="X32" s="70">
        <f t="shared" si="4"/>
        <v>0.0336</v>
      </c>
      <c r="Y32" s="70">
        <f t="shared" si="4"/>
        <v>0.03546666666666667</v>
      </c>
      <c r="Z32" s="70">
        <f t="shared" si="4"/>
        <v>0.03733333333333333</v>
      </c>
    </row>
    <row r="33" spans="4:26" ht="12.75">
      <c r="D33" s="39"/>
      <c r="E33" s="71">
        <f t="shared" si="2"/>
        <v>46.5</v>
      </c>
      <c r="F33" s="72">
        <v>31</v>
      </c>
      <c r="G33" s="70">
        <f t="shared" si="5"/>
        <v>0.001806451612903226</v>
      </c>
      <c r="H33" s="70">
        <f t="shared" si="5"/>
        <v>0.003612903225806452</v>
      </c>
      <c r="I33" s="70">
        <f t="shared" si="5"/>
        <v>0.005419354838709678</v>
      </c>
      <c r="J33" s="70">
        <f t="shared" si="5"/>
        <v>0.007225806451612904</v>
      </c>
      <c r="K33" s="70">
        <f t="shared" si="5"/>
        <v>0.00903225806451613</v>
      </c>
      <c r="L33" s="70">
        <f t="shared" si="5"/>
        <v>0.010838709677419355</v>
      </c>
      <c r="M33" s="70">
        <f t="shared" si="5"/>
        <v>0.012645161290322582</v>
      </c>
      <c r="N33" s="70">
        <f t="shared" si="5"/>
        <v>0.014451612903225807</v>
      </c>
      <c r="O33" s="70">
        <f t="shared" si="5"/>
        <v>0.016258064516129034</v>
      </c>
      <c r="P33" s="70">
        <f t="shared" si="5"/>
        <v>0.01806451612903226</v>
      </c>
      <c r="Q33" s="70">
        <f t="shared" si="5"/>
        <v>0.019870967741935485</v>
      </c>
      <c r="R33" s="70">
        <f t="shared" si="5"/>
        <v>0.02167741935483871</v>
      </c>
      <c r="S33" s="70">
        <f t="shared" si="5"/>
        <v>0.023483870967741936</v>
      </c>
      <c r="T33" s="70">
        <f t="shared" si="5"/>
        <v>0.025290322580645164</v>
      </c>
      <c r="U33" s="70">
        <f t="shared" si="5"/>
        <v>0.02709677419354839</v>
      </c>
      <c r="V33" s="70">
        <f t="shared" si="5"/>
        <v>0.028903225806451615</v>
      </c>
      <c r="W33" s="70">
        <f t="shared" si="4"/>
        <v>0.03070967741935484</v>
      </c>
      <c r="X33" s="70">
        <f t="shared" si="4"/>
        <v>0.03251612903225807</v>
      </c>
      <c r="Y33" s="70">
        <f t="shared" si="4"/>
        <v>0.03432258064516129</v>
      </c>
      <c r="Z33" s="70">
        <f t="shared" si="4"/>
        <v>0.03612903225806452</v>
      </c>
    </row>
    <row r="34" spans="4:26" ht="12.75">
      <c r="D34" s="39"/>
      <c r="E34" s="71">
        <f t="shared" si="2"/>
        <v>48</v>
      </c>
      <c r="F34" s="72">
        <v>32</v>
      </c>
      <c r="G34" s="70">
        <f t="shared" si="5"/>
        <v>0.00175</v>
      </c>
      <c r="H34" s="70">
        <f t="shared" si="5"/>
        <v>0.0035</v>
      </c>
      <c r="I34" s="70">
        <f t="shared" si="5"/>
        <v>0.00525</v>
      </c>
      <c r="J34" s="70">
        <f t="shared" si="5"/>
        <v>0.007</v>
      </c>
      <c r="K34" s="70">
        <f t="shared" si="5"/>
        <v>0.00875</v>
      </c>
      <c r="L34" s="70">
        <f t="shared" si="5"/>
        <v>0.0105</v>
      </c>
      <c r="M34" s="70">
        <f t="shared" si="5"/>
        <v>0.01225</v>
      </c>
      <c r="N34" s="70">
        <f t="shared" si="5"/>
        <v>0.014</v>
      </c>
      <c r="O34" s="70">
        <f t="shared" si="5"/>
        <v>0.01575</v>
      </c>
      <c r="P34" s="70">
        <f t="shared" si="5"/>
        <v>0.0175</v>
      </c>
      <c r="Q34" s="70">
        <f t="shared" si="5"/>
        <v>0.01925</v>
      </c>
      <c r="R34" s="70">
        <f t="shared" si="5"/>
        <v>0.021</v>
      </c>
      <c r="S34" s="70">
        <f t="shared" si="5"/>
        <v>0.02275</v>
      </c>
      <c r="T34" s="70">
        <f t="shared" si="5"/>
        <v>0.0245</v>
      </c>
      <c r="U34" s="70">
        <f t="shared" si="5"/>
        <v>0.02625</v>
      </c>
      <c r="V34" s="70">
        <f t="shared" si="5"/>
        <v>0.028</v>
      </c>
      <c r="W34" s="70">
        <f t="shared" si="4"/>
        <v>0.029750000000000002</v>
      </c>
      <c r="X34" s="70">
        <f t="shared" si="4"/>
        <v>0.0315</v>
      </c>
      <c r="Y34" s="70">
        <f t="shared" si="4"/>
        <v>0.03325</v>
      </c>
      <c r="Z34" s="70">
        <f t="shared" si="4"/>
        <v>0.035</v>
      </c>
    </row>
    <row r="35" spans="4:26" ht="12.75">
      <c r="D35" s="39"/>
      <c r="E35" s="71">
        <f t="shared" si="2"/>
        <v>49.5</v>
      </c>
      <c r="F35" s="72">
        <v>33</v>
      </c>
      <c r="G35" s="70">
        <f t="shared" si="5"/>
        <v>0.001696969696969697</v>
      </c>
      <c r="H35" s="70">
        <f t="shared" si="5"/>
        <v>0.003393939393939394</v>
      </c>
      <c r="I35" s="70">
        <f t="shared" si="5"/>
        <v>0.005090909090909091</v>
      </c>
      <c r="J35" s="70">
        <f t="shared" si="5"/>
        <v>0.006787878787878788</v>
      </c>
      <c r="K35" s="70">
        <f t="shared" si="5"/>
        <v>0.008484848484848486</v>
      </c>
      <c r="L35" s="70">
        <f t="shared" si="5"/>
        <v>0.010181818181818183</v>
      </c>
      <c r="M35" s="70">
        <f t="shared" si="5"/>
        <v>0.01187878787878788</v>
      </c>
      <c r="N35" s="70">
        <f t="shared" si="5"/>
        <v>0.013575757575757576</v>
      </c>
      <c r="O35" s="70">
        <f t="shared" si="5"/>
        <v>0.015272727272727273</v>
      </c>
      <c r="P35" s="70">
        <f t="shared" si="5"/>
        <v>0.01696969696969697</v>
      </c>
      <c r="Q35" s="70">
        <f t="shared" si="5"/>
        <v>0.018666666666666668</v>
      </c>
      <c r="R35" s="70">
        <f t="shared" si="5"/>
        <v>0.020363636363636365</v>
      </c>
      <c r="S35" s="70">
        <f t="shared" si="5"/>
        <v>0.022060606060606062</v>
      </c>
      <c r="T35" s="70">
        <f t="shared" si="5"/>
        <v>0.02375757575757576</v>
      </c>
      <c r="U35" s="70">
        <f t="shared" si="5"/>
        <v>0.025454545454545455</v>
      </c>
      <c r="V35" s="70">
        <f t="shared" si="5"/>
        <v>0.027151515151515152</v>
      </c>
      <c r="W35" s="70">
        <f aca="true" t="shared" si="6" ref="W35:Z42">($B$16/$F35)*W$2</f>
        <v>0.02884848484848485</v>
      </c>
      <c r="X35" s="70">
        <f t="shared" si="6"/>
        <v>0.030545454545454546</v>
      </c>
      <c r="Y35" s="70">
        <f t="shared" si="6"/>
        <v>0.032242424242424246</v>
      </c>
      <c r="Z35" s="70">
        <f t="shared" si="6"/>
        <v>0.03393939393939394</v>
      </c>
    </row>
    <row r="36" spans="4:26" ht="12.75">
      <c r="D36" s="39"/>
      <c r="E36" s="71">
        <f t="shared" si="2"/>
        <v>51</v>
      </c>
      <c r="F36" s="72">
        <v>34</v>
      </c>
      <c r="G36" s="70">
        <f t="shared" si="5"/>
        <v>0.0016470588235294118</v>
      </c>
      <c r="H36" s="70">
        <f t="shared" si="5"/>
        <v>0.0032941176470588237</v>
      </c>
      <c r="I36" s="70">
        <f t="shared" si="5"/>
        <v>0.004941176470588235</v>
      </c>
      <c r="J36" s="70">
        <f t="shared" si="5"/>
        <v>0.006588235294117647</v>
      </c>
      <c r="K36" s="70">
        <f t="shared" si="5"/>
        <v>0.00823529411764706</v>
      </c>
      <c r="L36" s="70">
        <f t="shared" si="5"/>
        <v>0.00988235294117647</v>
      </c>
      <c r="M36" s="70">
        <f t="shared" si="5"/>
        <v>0.011529411764705884</v>
      </c>
      <c r="N36" s="70">
        <f t="shared" si="5"/>
        <v>0.013176470588235295</v>
      </c>
      <c r="O36" s="70">
        <f t="shared" si="5"/>
        <v>0.014823529411764706</v>
      </c>
      <c r="P36" s="70">
        <f t="shared" si="5"/>
        <v>0.01647058823529412</v>
      </c>
      <c r="Q36" s="70">
        <f t="shared" si="5"/>
        <v>0.01811764705882353</v>
      </c>
      <c r="R36" s="70">
        <f t="shared" si="5"/>
        <v>0.01976470588235294</v>
      </c>
      <c r="S36" s="70">
        <f t="shared" si="5"/>
        <v>0.021411764705882352</v>
      </c>
      <c r="T36" s="70">
        <f t="shared" si="5"/>
        <v>0.023058823529411767</v>
      </c>
      <c r="U36" s="70">
        <f t="shared" si="5"/>
        <v>0.024705882352941178</v>
      </c>
      <c r="V36" s="70">
        <f t="shared" si="5"/>
        <v>0.02635294117647059</v>
      </c>
      <c r="W36" s="70">
        <f t="shared" si="6"/>
        <v>0.028</v>
      </c>
      <c r="X36" s="70">
        <f t="shared" si="6"/>
        <v>0.029647058823529412</v>
      </c>
      <c r="Y36" s="70">
        <f t="shared" si="6"/>
        <v>0.031294117647058826</v>
      </c>
      <c r="Z36" s="70">
        <f t="shared" si="6"/>
        <v>0.03294117647058824</v>
      </c>
    </row>
    <row r="37" spans="4:26" ht="12.75">
      <c r="D37" s="39"/>
      <c r="E37" s="71">
        <f t="shared" si="2"/>
        <v>52.5</v>
      </c>
      <c r="F37" s="72">
        <v>35</v>
      </c>
      <c r="G37" s="70">
        <f t="shared" si="5"/>
        <v>0.0016</v>
      </c>
      <c r="H37" s="70">
        <f t="shared" si="5"/>
        <v>0.0032</v>
      </c>
      <c r="I37" s="70">
        <f t="shared" si="5"/>
        <v>0.0048000000000000004</v>
      </c>
      <c r="J37" s="70">
        <f t="shared" si="5"/>
        <v>0.0064</v>
      </c>
      <c r="K37" s="70">
        <f t="shared" si="5"/>
        <v>0.008</v>
      </c>
      <c r="L37" s="70">
        <f t="shared" si="5"/>
        <v>0.009600000000000001</v>
      </c>
      <c r="M37" s="70">
        <f t="shared" si="5"/>
        <v>0.0112</v>
      </c>
      <c r="N37" s="70">
        <f t="shared" si="5"/>
        <v>0.0128</v>
      </c>
      <c r="O37" s="70">
        <f t="shared" si="5"/>
        <v>0.014400000000000001</v>
      </c>
      <c r="P37" s="70">
        <f t="shared" si="5"/>
        <v>0.016</v>
      </c>
      <c r="Q37" s="70">
        <f t="shared" si="5"/>
        <v>0.0176</v>
      </c>
      <c r="R37" s="70">
        <f t="shared" si="5"/>
        <v>0.019200000000000002</v>
      </c>
      <c r="S37" s="70">
        <f t="shared" si="5"/>
        <v>0.020800000000000003</v>
      </c>
      <c r="T37" s="70">
        <f t="shared" si="5"/>
        <v>0.0224</v>
      </c>
      <c r="U37" s="70">
        <f t="shared" si="5"/>
        <v>0.024</v>
      </c>
      <c r="V37" s="70">
        <f t="shared" si="5"/>
        <v>0.0256</v>
      </c>
      <c r="W37" s="70">
        <f t="shared" si="6"/>
        <v>0.027200000000000002</v>
      </c>
      <c r="X37" s="70">
        <f t="shared" si="6"/>
        <v>0.028800000000000003</v>
      </c>
      <c r="Y37" s="70">
        <f t="shared" si="6"/>
        <v>0.0304</v>
      </c>
      <c r="Z37" s="70">
        <f t="shared" si="6"/>
        <v>0.032</v>
      </c>
    </row>
    <row r="38" spans="4:26" ht="12.75">
      <c r="D38" s="39"/>
      <c r="E38" s="71">
        <f t="shared" si="2"/>
        <v>54</v>
      </c>
      <c r="F38" s="72">
        <v>36</v>
      </c>
      <c r="G38" s="70">
        <f t="shared" si="5"/>
        <v>0.0015555555555555557</v>
      </c>
      <c r="H38" s="70">
        <f t="shared" si="5"/>
        <v>0.0031111111111111114</v>
      </c>
      <c r="I38" s="70">
        <f t="shared" si="5"/>
        <v>0.004666666666666667</v>
      </c>
      <c r="J38" s="70">
        <f t="shared" si="5"/>
        <v>0.006222222222222223</v>
      </c>
      <c r="K38" s="70">
        <f t="shared" si="5"/>
        <v>0.007777777777777778</v>
      </c>
      <c r="L38" s="70">
        <f t="shared" si="5"/>
        <v>0.009333333333333334</v>
      </c>
      <c r="M38" s="70">
        <f t="shared" si="5"/>
        <v>0.010888888888888889</v>
      </c>
      <c r="N38" s="70">
        <f t="shared" si="5"/>
        <v>0.012444444444444445</v>
      </c>
      <c r="O38" s="70">
        <f t="shared" si="5"/>
        <v>0.014000000000000002</v>
      </c>
      <c r="P38" s="70">
        <f t="shared" si="5"/>
        <v>0.015555555555555557</v>
      </c>
      <c r="Q38" s="70">
        <f t="shared" si="5"/>
        <v>0.01711111111111111</v>
      </c>
      <c r="R38" s="70">
        <f t="shared" si="5"/>
        <v>0.018666666666666668</v>
      </c>
      <c r="S38" s="70">
        <f t="shared" si="5"/>
        <v>0.020222222222222225</v>
      </c>
      <c r="T38" s="70">
        <f t="shared" si="5"/>
        <v>0.021777777777777778</v>
      </c>
      <c r="U38" s="70">
        <f t="shared" si="5"/>
        <v>0.023333333333333334</v>
      </c>
      <c r="V38" s="70">
        <f t="shared" si="5"/>
        <v>0.02488888888888889</v>
      </c>
      <c r="W38" s="70">
        <f t="shared" si="6"/>
        <v>0.026444444444444448</v>
      </c>
      <c r="X38" s="70">
        <f t="shared" si="6"/>
        <v>0.028000000000000004</v>
      </c>
      <c r="Y38" s="70">
        <f t="shared" si="6"/>
        <v>0.029555555555555557</v>
      </c>
      <c r="Z38" s="70">
        <f t="shared" si="6"/>
        <v>0.031111111111111114</v>
      </c>
    </row>
    <row r="39" spans="4:26" ht="12.75">
      <c r="D39" s="39"/>
      <c r="E39" s="71">
        <f t="shared" si="2"/>
        <v>55.5</v>
      </c>
      <c r="F39" s="72">
        <v>37</v>
      </c>
      <c r="G39" s="70">
        <f t="shared" si="5"/>
        <v>0.0015135135135135136</v>
      </c>
      <c r="H39" s="70">
        <f t="shared" si="5"/>
        <v>0.003027027027027027</v>
      </c>
      <c r="I39" s="70">
        <f t="shared" si="5"/>
        <v>0.00454054054054054</v>
      </c>
      <c r="J39" s="70">
        <f t="shared" si="5"/>
        <v>0.006054054054054054</v>
      </c>
      <c r="K39" s="70">
        <f t="shared" si="5"/>
        <v>0.007567567567567568</v>
      </c>
      <c r="L39" s="70">
        <f t="shared" si="5"/>
        <v>0.00908108108108108</v>
      </c>
      <c r="M39" s="70">
        <f t="shared" si="5"/>
        <v>0.010594594594594595</v>
      </c>
      <c r="N39" s="70">
        <f t="shared" si="5"/>
        <v>0.012108108108108109</v>
      </c>
      <c r="O39" s="70">
        <f t="shared" si="5"/>
        <v>0.013621621621621623</v>
      </c>
      <c r="P39" s="70">
        <f t="shared" si="5"/>
        <v>0.015135135135135137</v>
      </c>
      <c r="Q39" s="70">
        <f t="shared" si="5"/>
        <v>0.01664864864864865</v>
      </c>
      <c r="R39" s="70">
        <f t="shared" si="5"/>
        <v>0.01816216216216216</v>
      </c>
      <c r="S39" s="70">
        <f t="shared" si="5"/>
        <v>0.019675675675675675</v>
      </c>
      <c r="T39" s="70">
        <f t="shared" si="5"/>
        <v>0.02118918918918919</v>
      </c>
      <c r="U39" s="70">
        <f t="shared" si="5"/>
        <v>0.022702702702702703</v>
      </c>
      <c r="V39" s="70">
        <f t="shared" si="5"/>
        <v>0.024216216216216217</v>
      </c>
      <c r="W39" s="70">
        <f t="shared" si="6"/>
        <v>0.02572972972972973</v>
      </c>
      <c r="X39" s="70">
        <f t="shared" si="6"/>
        <v>0.027243243243243245</v>
      </c>
      <c r="Y39" s="70">
        <f t="shared" si="6"/>
        <v>0.02875675675675676</v>
      </c>
      <c r="Z39" s="70">
        <f t="shared" si="6"/>
        <v>0.030270270270270273</v>
      </c>
    </row>
    <row r="40" spans="4:26" ht="12.75">
      <c r="D40" s="53"/>
      <c r="E40" s="71">
        <f t="shared" si="2"/>
        <v>57</v>
      </c>
      <c r="F40" s="72">
        <v>38</v>
      </c>
      <c r="G40" s="70">
        <f t="shared" si="5"/>
        <v>0.0014736842105263158</v>
      </c>
      <c r="H40" s="70">
        <f t="shared" si="5"/>
        <v>0.0029473684210526317</v>
      </c>
      <c r="I40" s="70">
        <f t="shared" si="5"/>
        <v>0.004421052631578947</v>
      </c>
      <c r="J40" s="70">
        <f t="shared" si="5"/>
        <v>0.005894736842105263</v>
      </c>
      <c r="K40" s="70">
        <f t="shared" si="5"/>
        <v>0.00736842105263158</v>
      </c>
      <c r="L40" s="70">
        <f t="shared" si="5"/>
        <v>0.008842105263157894</v>
      </c>
      <c r="M40" s="70">
        <f t="shared" si="5"/>
        <v>0.01031578947368421</v>
      </c>
      <c r="N40" s="70">
        <f t="shared" si="5"/>
        <v>0.011789473684210527</v>
      </c>
      <c r="O40" s="70">
        <f t="shared" si="5"/>
        <v>0.013263157894736843</v>
      </c>
      <c r="P40" s="70">
        <f t="shared" si="5"/>
        <v>0.01473684210526316</v>
      </c>
      <c r="Q40" s="70">
        <f t="shared" si="5"/>
        <v>0.016210526315789474</v>
      </c>
      <c r="R40" s="70">
        <f t="shared" si="5"/>
        <v>0.01768421052631579</v>
      </c>
      <c r="S40" s="70">
        <f t="shared" si="5"/>
        <v>0.019157894736842106</v>
      </c>
      <c r="T40" s="70">
        <f t="shared" si="5"/>
        <v>0.02063157894736842</v>
      </c>
      <c r="U40" s="70">
        <f t="shared" si="5"/>
        <v>0.02210526315789474</v>
      </c>
      <c r="V40" s="70">
        <f t="shared" si="5"/>
        <v>0.023578947368421053</v>
      </c>
      <c r="W40" s="70">
        <f t="shared" si="6"/>
        <v>0.025052631578947368</v>
      </c>
      <c r="X40" s="70">
        <f t="shared" si="6"/>
        <v>0.026526315789473686</v>
      </c>
      <c r="Y40" s="70">
        <f t="shared" si="6"/>
        <v>0.028</v>
      </c>
      <c r="Z40" s="70">
        <f t="shared" si="6"/>
        <v>0.02947368421052632</v>
      </c>
    </row>
    <row r="41" spans="4:26" ht="12.75">
      <c r="D41" s="39"/>
      <c r="E41" s="71">
        <f t="shared" si="2"/>
        <v>58.5</v>
      </c>
      <c r="F41" s="72">
        <v>39</v>
      </c>
      <c r="G41" s="70">
        <f t="shared" si="5"/>
        <v>0.001435897435897436</v>
      </c>
      <c r="H41" s="70">
        <f t="shared" si="5"/>
        <v>0.002871794871794872</v>
      </c>
      <c r="I41" s="70">
        <f t="shared" si="5"/>
        <v>0.0043076923076923075</v>
      </c>
      <c r="J41" s="70">
        <f t="shared" si="5"/>
        <v>0.005743589743589744</v>
      </c>
      <c r="K41" s="70">
        <f t="shared" si="5"/>
        <v>0.00717948717948718</v>
      </c>
      <c r="L41" s="70">
        <f t="shared" si="5"/>
        <v>0.008615384615384615</v>
      </c>
      <c r="M41" s="70">
        <f t="shared" si="5"/>
        <v>0.010051282051282051</v>
      </c>
      <c r="N41" s="70">
        <f t="shared" si="5"/>
        <v>0.011487179487179488</v>
      </c>
      <c r="O41" s="70">
        <f t="shared" si="5"/>
        <v>0.012923076923076924</v>
      </c>
      <c r="P41" s="70">
        <f t="shared" si="5"/>
        <v>0.01435897435897436</v>
      </c>
      <c r="Q41" s="70">
        <f aca="true" t="shared" si="7" ref="Q41:V41">($B$16/$F41)*Q$2</f>
        <v>0.015794871794871795</v>
      </c>
      <c r="R41" s="70">
        <f t="shared" si="7"/>
        <v>0.01723076923076923</v>
      </c>
      <c r="S41" s="70">
        <f t="shared" si="7"/>
        <v>0.018666666666666668</v>
      </c>
      <c r="T41" s="70">
        <f t="shared" si="7"/>
        <v>0.020102564102564103</v>
      </c>
      <c r="U41" s="70">
        <f t="shared" si="7"/>
        <v>0.02153846153846154</v>
      </c>
      <c r="V41" s="70">
        <f t="shared" si="7"/>
        <v>0.022974358974358976</v>
      </c>
      <c r="W41" s="70">
        <f t="shared" si="6"/>
        <v>0.02441025641025641</v>
      </c>
      <c r="X41" s="70">
        <f t="shared" si="6"/>
        <v>0.02584615384615385</v>
      </c>
      <c r="Y41" s="70">
        <f t="shared" si="6"/>
        <v>0.027282051282051283</v>
      </c>
      <c r="Z41" s="70">
        <f t="shared" si="6"/>
        <v>0.02871794871794872</v>
      </c>
    </row>
    <row r="42" spans="4:26" ht="13.5" thickBot="1">
      <c r="D42" s="39"/>
      <c r="E42" s="74">
        <f t="shared" si="2"/>
        <v>60</v>
      </c>
      <c r="F42" s="75">
        <v>40</v>
      </c>
      <c r="G42" s="70">
        <f aca="true" t="shared" si="8" ref="G42:V42">($B$16/$F42)*G$2</f>
        <v>0.0014</v>
      </c>
      <c r="H42" s="70">
        <f t="shared" si="8"/>
        <v>0.0028</v>
      </c>
      <c r="I42" s="70">
        <f t="shared" si="8"/>
        <v>0.0042</v>
      </c>
      <c r="J42" s="70">
        <f t="shared" si="8"/>
        <v>0.0056</v>
      </c>
      <c r="K42" s="70">
        <f t="shared" si="8"/>
        <v>0.007</v>
      </c>
      <c r="L42" s="70">
        <f t="shared" si="8"/>
        <v>0.0084</v>
      </c>
      <c r="M42" s="70">
        <f t="shared" si="8"/>
        <v>0.0098</v>
      </c>
      <c r="N42" s="70">
        <f t="shared" si="8"/>
        <v>0.0112</v>
      </c>
      <c r="O42" s="70">
        <f t="shared" si="8"/>
        <v>0.0126</v>
      </c>
      <c r="P42" s="70">
        <f t="shared" si="8"/>
        <v>0.014</v>
      </c>
      <c r="Q42" s="70">
        <f t="shared" si="8"/>
        <v>0.0154</v>
      </c>
      <c r="R42" s="70">
        <f t="shared" si="8"/>
        <v>0.0168</v>
      </c>
      <c r="S42" s="70">
        <f t="shared" si="8"/>
        <v>0.0182</v>
      </c>
      <c r="T42" s="70">
        <f t="shared" si="8"/>
        <v>0.0196</v>
      </c>
      <c r="U42" s="70">
        <f t="shared" si="8"/>
        <v>0.021</v>
      </c>
      <c r="V42" s="70">
        <f t="shared" si="8"/>
        <v>0.0224</v>
      </c>
      <c r="W42" s="70">
        <f t="shared" si="6"/>
        <v>0.023799999999999998</v>
      </c>
      <c r="X42" s="70">
        <f t="shared" si="6"/>
        <v>0.0252</v>
      </c>
      <c r="Y42" s="70">
        <f t="shared" si="6"/>
        <v>0.0266</v>
      </c>
      <c r="Z42" s="70">
        <f t="shared" si="6"/>
        <v>0.028</v>
      </c>
    </row>
    <row r="43" spans="4:26" ht="12.75">
      <c r="D43" s="39"/>
      <c r="G43" s="76"/>
      <c r="H43" s="76"/>
      <c r="I43" s="76"/>
      <c r="J43" s="76"/>
      <c r="K43" s="76"/>
      <c r="L43" s="76"/>
      <c r="M43" s="76"/>
      <c r="N43" s="76"/>
      <c r="O43" s="76"/>
      <c r="P43" s="76"/>
      <c r="Q43" s="76"/>
      <c r="R43" s="76"/>
      <c r="S43" s="76"/>
      <c r="T43" s="76"/>
      <c r="U43" s="76"/>
      <c r="V43" s="76"/>
      <c r="W43" s="76"/>
      <c r="X43" s="76"/>
      <c r="Y43" s="76"/>
      <c r="Z43" s="76"/>
    </row>
  </sheetData>
  <mergeCells count="5">
    <mergeCell ref="A27:C27"/>
    <mergeCell ref="A28:C28"/>
    <mergeCell ref="A29:C29"/>
    <mergeCell ref="G1:Z1"/>
    <mergeCell ref="A11:C11"/>
  </mergeCells>
  <conditionalFormatting sqref="G3:Z42">
    <cfRule type="expression" priority="1" dxfId="1" stopIfTrue="1">
      <formula>(G$2*$F3&gt;$B$24)</formula>
    </cfRule>
    <cfRule type="expression" priority="2" dxfId="1" stopIfTrue="1">
      <formula>$E3&lt;$B$19/1000</formula>
    </cfRule>
    <cfRule type="cellIs" priority="3" dxfId="2" operator="between" stopIfTrue="1">
      <formula>$B$21*(1-$B$22)</formula>
      <formula>$B$21*(1+$B$22)</formula>
    </cfRule>
  </conditionalFormatting>
  <conditionalFormatting sqref="E3:E42">
    <cfRule type="cellIs" priority="4" dxfId="1" operator="lessThan" stopIfTrue="1">
      <formula>$B$19/1000</formula>
    </cfRule>
    <cfRule type="expression" priority="5" dxfId="1" stopIfTrue="1">
      <formula>$F3&gt;$B$24</formula>
    </cfRule>
  </conditionalFormatting>
  <conditionalFormatting sqref="F3:F42">
    <cfRule type="expression" priority="6" dxfId="1" stopIfTrue="1">
      <formula>$E3&lt;$B$19/1000</formula>
    </cfRule>
    <cfRule type="expression" priority="7" dxfId="1" stopIfTrue="1">
      <formula>$F3&gt;$B$24</formula>
    </cfRule>
  </conditionalFormatting>
  <printOptions/>
  <pageMargins left="0.75" right="0.75" top="1" bottom="1" header="0.5" footer="0.5"/>
  <pageSetup orientation="portrait" paperSize="9"/>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K15"/>
  <sheetViews>
    <sheetView workbookViewId="0" topLeftCell="A1">
      <selection activeCell="G27" sqref="G27"/>
    </sheetView>
  </sheetViews>
  <sheetFormatPr defaultColWidth="9.140625" defaultRowHeight="12.75"/>
  <sheetData>
    <row r="1" spans="1:11" ht="12.75">
      <c r="A1" s="6"/>
      <c r="B1" s="6"/>
      <c r="C1" s="6"/>
      <c r="D1" s="6"/>
      <c r="E1" s="6"/>
      <c r="F1" s="6"/>
      <c r="G1" s="6"/>
      <c r="H1" s="6"/>
      <c r="I1" s="6"/>
      <c r="J1" s="6"/>
      <c r="K1" s="6"/>
    </row>
    <row r="2" spans="1:10" ht="12.75">
      <c r="A2" s="12" t="s">
        <v>29</v>
      </c>
      <c r="B2" s="12"/>
      <c r="C2" s="12"/>
      <c r="D2" s="12"/>
      <c r="E2" s="12"/>
      <c r="F2" s="12"/>
      <c r="G2" s="12"/>
      <c r="H2" s="12"/>
      <c r="J2" s="8"/>
    </row>
    <row r="3" ht="12.75">
      <c r="J3" s="8"/>
    </row>
    <row r="4" spans="5:10" ht="12.75">
      <c r="E4" t="s">
        <v>25</v>
      </c>
      <c r="J4" s="8"/>
    </row>
    <row r="5" spans="1:10" ht="12.75">
      <c r="A5" t="s">
        <v>30</v>
      </c>
      <c r="E5" s="21" t="s">
        <v>32</v>
      </c>
      <c r="F5" s="23">
        <v>1</v>
      </c>
      <c r="H5" t="s">
        <v>57</v>
      </c>
      <c r="J5" s="8"/>
    </row>
    <row r="6" spans="1:10" ht="12.75">
      <c r="A6" t="s">
        <v>31</v>
      </c>
      <c r="E6" s="21" t="s">
        <v>33</v>
      </c>
      <c r="F6" s="21">
        <v>10</v>
      </c>
      <c r="J6" s="8"/>
    </row>
    <row r="7" spans="1:10" ht="12.75">
      <c r="A7" t="s">
        <v>58</v>
      </c>
      <c r="E7" s="21" t="s">
        <v>34</v>
      </c>
      <c r="F7" s="21">
        <v>600</v>
      </c>
      <c r="G7" t="s">
        <v>71</v>
      </c>
      <c r="J7" s="8"/>
    </row>
    <row r="8" spans="1:10" ht="12.75">
      <c r="A8" t="s">
        <v>51</v>
      </c>
      <c r="E8" s="21" t="s">
        <v>36</v>
      </c>
      <c r="F8" s="24">
        <v>0.06</v>
      </c>
      <c r="G8" t="s">
        <v>21</v>
      </c>
      <c r="J8" s="8"/>
    </row>
    <row r="9" ht="12.75">
      <c r="J9" s="8"/>
    </row>
    <row r="10" spans="4:10" ht="12.75">
      <c r="D10" t="s">
        <v>35</v>
      </c>
      <c r="F10" s="30">
        <f>((0.225*F5)*(((F6-1)*F7)/F8))/10^6</f>
        <v>0.02025</v>
      </c>
      <c r="G10" s="29" t="s">
        <v>66</v>
      </c>
      <c r="J10" s="8"/>
    </row>
    <row r="11" spans="6:10" ht="12.75">
      <c r="F11" s="32"/>
      <c r="G11" s="29"/>
      <c r="J11" s="8"/>
    </row>
    <row r="12" spans="1:10" ht="12.75">
      <c r="A12" t="s">
        <v>72</v>
      </c>
      <c r="F12" s="32"/>
      <c r="G12" s="29"/>
      <c r="J12" s="8"/>
    </row>
    <row r="13" ht="12.75">
      <c r="J13" s="8"/>
    </row>
    <row r="14" spans="3:10" ht="12.75">
      <c r="C14" s="125" t="s">
        <v>130</v>
      </c>
      <c r="D14" s="125"/>
      <c r="E14" s="125"/>
      <c r="F14" s="125"/>
      <c r="G14" s="125"/>
      <c r="H14" s="125"/>
      <c r="I14" s="125"/>
      <c r="J14" s="125"/>
    </row>
    <row r="15" spans="3:10" ht="12.75">
      <c r="C15" s="125" t="s">
        <v>132</v>
      </c>
      <c r="D15" s="125"/>
      <c r="E15" s="125"/>
      <c r="F15" s="125"/>
      <c r="G15" s="125"/>
      <c r="H15" s="125"/>
      <c r="I15" s="125"/>
      <c r="J15" s="125"/>
    </row>
  </sheetData>
  <mergeCells count="2">
    <mergeCell ref="C15:J15"/>
    <mergeCell ref="C14:J1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75"/>
  <sheetViews>
    <sheetView zoomScale="75" zoomScaleNormal="75" workbookViewId="0" topLeftCell="A1">
      <selection activeCell="P9" sqref="P9"/>
    </sheetView>
  </sheetViews>
  <sheetFormatPr defaultColWidth="9.140625" defaultRowHeight="12.75"/>
  <sheetData>
    <row r="1" spans="1:12" ht="12.75">
      <c r="A1" s="86" t="s">
        <v>106</v>
      </c>
      <c r="B1" s="86"/>
      <c r="C1" s="86"/>
      <c r="D1" s="86"/>
      <c r="E1" s="86"/>
      <c r="F1" s="86"/>
      <c r="G1" s="86"/>
      <c r="H1" s="86"/>
      <c r="I1" s="86"/>
      <c r="J1" s="86"/>
      <c r="K1" s="86"/>
      <c r="L1" s="96"/>
    </row>
    <row r="2" ht="12.75">
      <c r="A2" t="s">
        <v>11</v>
      </c>
    </row>
    <row r="4" spans="1:2" ht="12.75">
      <c r="A4" t="s">
        <v>12</v>
      </c>
      <c r="B4" t="s">
        <v>13</v>
      </c>
    </row>
    <row r="5" spans="1:2" ht="12.75">
      <c r="A5" s="1">
        <v>1</v>
      </c>
      <c r="B5" s="5">
        <v>0.46</v>
      </c>
    </row>
    <row r="6" spans="1:2" ht="12.75">
      <c r="A6" s="1">
        <v>1.1</v>
      </c>
      <c r="B6" s="5">
        <v>0.462</v>
      </c>
    </row>
    <row r="7" spans="1:2" ht="12.75">
      <c r="A7" s="1">
        <v>1.2</v>
      </c>
      <c r="B7" s="5">
        <v>0.464</v>
      </c>
    </row>
    <row r="8" spans="1:2" ht="12.75">
      <c r="A8" s="1">
        <v>1.3</v>
      </c>
      <c r="B8" s="5">
        <v>0.466</v>
      </c>
    </row>
    <row r="9" spans="1:2" ht="12.75">
      <c r="A9" s="1">
        <v>1.4</v>
      </c>
      <c r="B9" s="5">
        <v>0.468</v>
      </c>
    </row>
    <row r="10" spans="1:2" ht="12.75">
      <c r="A10" s="1">
        <v>1.5</v>
      </c>
      <c r="B10" s="5">
        <v>0.47</v>
      </c>
    </row>
    <row r="11" spans="1:2" ht="12.75">
      <c r="A11" s="1">
        <v>1.6</v>
      </c>
      <c r="B11" s="5">
        <v>0.476</v>
      </c>
    </row>
    <row r="12" spans="1:2" ht="12.75">
      <c r="A12" s="1">
        <v>1.7</v>
      </c>
      <c r="B12" s="5">
        <v>0.482</v>
      </c>
    </row>
    <row r="13" spans="1:2" ht="12.75">
      <c r="A13" s="1">
        <v>1.8</v>
      </c>
      <c r="B13" s="5">
        <v>0.488</v>
      </c>
    </row>
    <row r="14" spans="1:2" ht="12.75">
      <c r="A14" s="1">
        <v>1.9</v>
      </c>
      <c r="B14" s="5">
        <v>0.494</v>
      </c>
    </row>
    <row r="15" spans="1:2" ht="12.75">
      <c r="A15" s="1">
        <v>2</v>
      </c>
      <c r="B15" s="5">
        <v>0.5</v>
      </c>
    </row>
    <row r="16" spans="1:2" ht="12.75">
      <c r="A16" s="1">
        <v>2.1</v>
      </c>
      <c r="B16" s="5">
        <v>0.512</v>
      </c>
    </row>
    <row r="17" spans="1:2" ht="12.75">
      <c r="A17" s="1">
        <v>2.2</v>
      </c>
      <c r="B17" s="5">
        <v>0.524</v>
      </c>
    </row>
    <row r="18" spans="1:2" ht="12.75">
      <c r="A18" s="1">
        <v>2.3</v>
      </c>
      <c r="B18" s="5">
        <v>0.536</v>
      </c>
    </row>
    <row r="19" spans="1:2" ht="12.75">
      <c r="A19" s="1">
        <v>2.4</v>
      </c>
      <c r="B19" s="5">
        <v>0.548</v>
      </c>
    </row>
    <row r="20" spans="1:2" ht="12.75">
      <c r="A20" s="1">
        <v>2.5</v>
      </c>
      <c r="B20" s="5">
        <v>0.56</v>
      </c>
    </row>
    <row r="21" spans="1:2" ht="12.75">
      <c r="A21" s="1">
        <v>2.6</v>
      </c>
      <c r="B21" s="5">
        <v>0.57</v>
      </c>
    </row>
    <row r="22" spans="1:2" ht="12.75">
      <c r="A22" s="1">
        <v>2.7</v>
      </c>
      <c r="B22" s="5">
        <v>0.58</v>
      </c>
    </row>
    <row r="23" spans="1:2" ht="12.75">
      <c r="A23" s="1">
        <v>2.8</v>
      </c>
      <c r="B23" s="5">
        <v>0.59</v>
      </c>
    </row>
    <row r="24" spans="1:2" ht="12.75">
      <c r="A24" s="1">
        <v>2.9</v>
      </c>
      <c r="B24" s="5">
        <v>0.6</v>
      </c>
    </row>
    <row r="25" spans="1:2" ht="12.75">
      <c r="A25" s="1">
        <v>3</v>
      </c>
      <c r="B25" s="5">
        <v>0.61</v>
      </c>
    </row>
    <row r="26" spans="1:2" ht="12.75">
      <c r="A26" s="1">
        <v>3.1</v>
      </c>
      <c r="B26" s="5">
        <v>0.622</v>
      </c>
    </row>
    <row r="27" spans="1:2" ht="12.75">
      <c r="A27" s="1">
        <v>3.2</v>
      </c>
      <c r="B27" s="5">
        <v>0.634</v>
      </c>
    </row>
    <row r="28" spans="1:2" ht="12.75">
      <c r="A28" s="1">
        <v>3.3</v>
      </c>
      <c r="B28" s="5">
        <v>0.646</v>
      </c>
    </row>
    <row r="29" spans="1:2" ht="12.75">
      <c r="A29" s="1">
        <v>3.4</v>
      </c>
      <c r="B29" s="5">
        <v>0.658</v>
      </c>
    </row>
    <row r="30" spans="1:2" ht="12.75">
      <c r="A30" s="1">
        <v>3.5</v>
      </c>
      <c r="B30" s="5">
        <v>0.67</v>
      </c>
    </row>
    <row r="31" spans="1:2" ht="12.75">
      <c r="A31" s="1">
        <v>3.6</v>
      </c>
      <c r="B31" s="5">
        <v>0.68</v>
      </c>
    </row>
    <row r="32" spans="1:2" ht="12.75">
      <c r="A32" s="1">
        <v>3.7</v>
      </c>
      <c r="B32" s="5">
        <v>0.69</v>
      </c>
    </row>
    <row r="33" spans="1:2" ht="12.75">
      <c r="A33" s="1">
        <v>3.8</v>
      </c>
      <c r="B33" s="5">
        <v>0.7</v>
      </c>
    </row>
    <row r="34" spans="1:2" ht="12.75">
      <c r="A34" s="1">
        <v>3.9</v>
      </c>
      <c r="B34" s="5">
        <v>0.71</v>
      </c>
    </row>
    <row r="35" spans="1:2" ht="12.75">
      <c r="A35" s="1">
        <v>4</v>
      </c>
      <c r="B35" s="5">
        <v>0.72</v>
      </c>
    </row>
    <row r="36" spans="1:2" ht="12.75">
      <c r="A36" s="1">
        <v>4.1</v>
      </c>
      <c r="B36" s="5">
        <v>0.73</v>
      </c>
    </row>
    <row r="37" spans="1:2" ht="12.75">
      <c r="A37" s="1">
        <v>4.2</v>
      </c>
      <c r="B37" s="5">
        <v>0.74</v>
      </c>
    </row>
    <row r="38" spans="1:2" ht="12.75">
      <c r="A38" s="1">
        <v>4.3</v>
      </c>
      <c r="B38" s="5">
        <v>0.75</v>
      </c>
    </row>
    <row r="39" spans="1:2" ht="12.75">
      <c r="A39" s="1">
        <v>4.399999999999995</v>
      </c>
      <c r="B39" s="5">
        <v>0.76</v>
      </c>
    </row>
    <row r="40" spans="1:2" ht="12.75">
      <c r="A40" s="1">
        <v>4.5</v>
      </c>
      <c r="B40" s="5">
        <v>0.77</v>
      </c>
    </row>
    <row r="41" spans="1:2" ht="12.75">
      <c r="A41" s="1">
        <v>4.6</v>
      </c>
      <c r="B41" s="5">
        <v>0.778</v>
      </c>
    </row>
    <row r="42" spans="1:2" ht="12.75">
      <c r="A42" s="1">
        <v>4.7</v>
      </c>
      <c r="B42" s="5">
        <v>0.786</v>
      </c>
    </row>
    <row r="43" spans="1:2" ht="12.75">
      <c r="A43" s="1">
        <v>4.8</v>
      </c>
      <c r="B43" s="5">
        <v>0.794</v>
      </c>
    </row>
    <row r="44" spans="1:2" ht="12.75">
      <c r="A44" s="1">
        <v>4.899999999999995</v>
      </c>
      <c r="B44" s="5">
        <v>0.802</v>
      </c>
    </row>
    <row r="45" spans="1:2" ht="12.75">
      <c r="A45" s="1">
        <v>4.999999999999995</v>
      </c>
      <c r="B45" s="5">
        <v>0.81</v>
      </c>
    </row>
    <row r="46" spans="1:2" ht="12.75">
      <c r="A46" s="1">
        <v>5.099999999999994</v>
      </c>
      <c r="B46" s="5">
        <v>0.821</v>
      </c>
    </row>
    <row r="47" spans="1:2" ht="12.75">
      <c r="A47" s="1">
        <v>5.199999999999994</v>
      </c>
      <c r="B47" s="5">
        <v>0.832</v>
      </c>
    </row>
    <row r="48" spans="1:2" ht="12.75">
      <c r="A48" s="1">
        <v>5.299999999999994</v>
      </c>
      <c r="B48" s="5">
        <v>0.843</v>
      </c>
    </row>
    <row r="49" spans="1:2" ht="12.75">
      <c r="A49" s="1">
        <v>5.4</v>
      </c>
      <c r="B49" s="5">
        <v>0.854</v>
      </c>
    </row>
    <row r="50" spans="1:2" ht="12.75">
      <c r="A50" s="1">
        <v>5.499999999999995</v>
      </c>
      <c r="B50" s="5">
        <v>0.865</v>
      </c>
    </row>
    <row r="51" spans="1:2" ht="12.75">
      <c r="A51" s="1">
        <v>5.599999999999994</v>
      </c>
      <c r="B51" s="5">
        <v>0.876</v>
      </c>
    </row>
    <row r="52" spans="1:2" ht="12.75">
      <c r="A52" s="1">
        <v>5.699999999999994</v>
      </c>
      <c r="B52" s="5">
        <v>0.887</v>
      </c>
    </row>
    <row r="53" spans="1:2" ht="12.75">
      <c r="A53" s="1">
        <v>5.799999999999994</v>
      </c>
      <c r="B53" s="5">
        <v>0.898</v>
      </c>
    </row>
    <row r="54" spans="1:2" ht="12.75">
      <c r="A54" s="1">
        <v>5.899999999999993</v>
      </c>
      <c r="B54" s="5">
        <v>0.909</v>
      </c>
    </row>
    <row r="55" spans="1:2" ht="12.75">
      <c r="A55" s="1">
        <v>5.999999999999993</v>
      </c>
      <c r="B55" s="5">
        <v>0.92</v>
      </c>
    </row>
    <row r="56" spans="1:2" ht="12.75">
      <c r="A56" s="1">
        <v>6.0999999999999925</v>
      </c>
      <c r="B56" s="5">
        <v>0.929</v>
      </c>
    </row>
    <row r="57" spans="1:2" ht="12.75">
      <c r="A57" s="1">
        <v>6.199999999999994</v>
      </c>
      <c r="B57" s="5">
        <v>0.938</v>
      </c>
    </row>
    <row r="58" spans="1:2" ht="12.75">
      <c r="A58" s="1">
        <v>6.299999999999994</v>
      </c>
      <c r="B58" s="5">
        <v>0.947</v>
      </c>
    </row>
    <row r="59" spans="1:2" ht="12.75">
      <c r="A59" s="1">
        <v>6.399999999999993</v>
      </c>
      <c r="B59" s="5">
        <v>0.956</v>
      </c>
    </row>
    <row r="60" spans="1:2" ht="12.75">
      <c r="A60" s="1">
        <v>6.499999999999993</v>
      </c>
      <c r="B60" s="5">
        <v>0.965</v>
      </c>
    </row>
    <row r="61" spans="1:2" ht="12.75">
      <c r="A61" s="1">
        <v>6.5999999999999925</v>
      </c>
      <c r="B61" s="5">
        <v>0.974</v>
      </c>
    </row>
    <row r="62" spans="1:2" ht="12.75">
      <c r="A62" s="1">
        <v>6.699999999999992</v>
      </c>
      <c r="B62" s="5">
        <v>0.983</v>
      </c>
    </row>
    <row r="63" spans="1:2" ht="12.75">
      <c r="A63" s="1">
        <v>6.799999999999992</v>
      </c>
      <c r="B63" s="5">
        <v>0.992</v>
      </c>
    </row>
    <row r="64" spans="1:2" ht="12.75">
      <c r="A64" s="1">
        <v>6.8999999999999915</v>
      </c>
      <c r="B64" s="5">
        <v>1.001</v>
      </c>
    </row>
    <row r="65" spans="1:2" ht="12.75">
      <c r="A65" s="1">
        <v>6.999999999999993</v>
      </c>
      <c r="B65" s="5">
        <v>1.01</v>
      </c>
    </row>
    <row r="66" spans="1:2" ht="12.75">
      <c r="A66" s="1">
        <v>7.0999999999999925</v>
      </c>
      <c r="B66" s="5">
        <v>1.021</v>
      </c>
    </row>
    <row r="67" spans="1:2" ht="12.75">
      <c r="A67" s="1">
        <v>7.199999999999992</v>
      </c>
      <c r="B67" s="5">
        <v>1.032</v>
      </c>
    </row>
    <row r="68" spans="1:2" ht="12.75">
      <c r="A68" s="1">
        <v>7.299999999999992</v>
      </c>
      <c r="B68" s="5">
        <v>1.043</v>
      </c>
    </row>
    <row r="69" spans="1:2" ht="12.75">
      <c r="A69" s="1">
        <v>7.3999999999999915</v>
      </c>
      <c r="B69" s="5">
        <v>1.054</v>
      </c>
    </row>
    <row r="70" spans="1:2" ht="12.75">
      <c r="A70" s="1">
        <v>7.499999999999991</v>
      </c>
      <c r="B70" s="5">
        <v>1.065</v>
      </c>
    </row>
    <row r="71" spans="1:2" ht="12.75">
      <c r="A71" s="1">
        <v>7.599999999999991</v>
      </c>
      <c r="B71" s="5">
        <v>1.076</v>
      </c>
    </row>
    <row r="72" spans="1:2" ht="12.75">
      <c r="A72" s="1">
        <v>7.69999999999999</v>
      </c>
      <c r="B72" s="5">
        <v>1.087</v>
      </c>
    </row>
    <row r="73" spans="1:2" ht="12.75">
      <c r="A73" s="1">
        <v>7.799999999999992</v>
      </c>
      <c r="B73" s="5">
        <v>1.098</v>
      </c>
    </row>
    <row r="74" spans="1:2" ht="12.75">
      <c r="A74" s="1">
        <v>7.8999999999999915</v>
      </c>
      <c r="B74" s="5">
        <v>1.109</v>
      </c>
    </row>
    <row r="75" spans="1:2" ht="12.75">
      <c r="A75" s="1">
        <v>8</v>
      </c>
      <c r="B75" s="5">
        <v>1.12</v>
      </c>
    </row>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F49"/>
  <sheetViews>
    <sheetView workbookViewId="0" topLeftCell="A1">
      <selection activeCell="O25" sqref="O25"/>
    </sheetView>
  </sheetViews>
  <sheetFormatPr defaultColWidth="9.140625" defaultRowHeight="12.75"/>
  <sheetData>
    <row r="1" ht="12.75">
      <c r="A1" s="92" t="s">
        <v>155</v>
      </c>
    </row>
    <row r="2" ht="12.75">
      <c r="A2" s="92"/>
    </row>
    <row r="3" ht="12.75">
      <c r="A3" s="92" t="s">
        <v>156</v>
      </c>
    </row>
    <row r="4" ht="12.75">
      <c r="A4" s="92"/>
    </row>
    <row r="5" ht="12.75">
      <c r="A5" s="92" t="s">
        <v>142</v>
      </c>
    </row>
    <row r="6" ht="12.75">
      <c r="A6" s="92"/>
    </row>
    <row r="7" ht="12.75">
      <c r="A7" s="92" t="s">
        <v>143</v>
      </c>
    </row>
    <row r="8" ht="12.75">
      <c r="A8" s="92"/>
    </row>
    <row r="9" ht="12.75">
      <c r="A9" s="92" t="s">
        <v>144</v>
      </c>
    </row>
    <row r="10" ht="12.75">
      <c r="A10" s="92"/>
    </row>
    <row r="11" ht="12.75">
      <c r="A11" s="92" t="s">
        <v>145</v>
      </c>
    </row>
    <row r="12" ht="12.75">
      <c r="A12" s="92"/>
    </row>
    <row r="13" ht="12.75">
      <c r="A13" s="92" t="s">
        <v>146</v>
      </c>
    </row>
    <row r="14" ht="12.75">
      <c r="A14" s="92"/>
    </row>
    <row r="15" ht="12.75">
      <c r="A15" s="92" t="s">
        <v>147</v>
      </c>
    </row>
    <row r="16" ht="12.75">
      <c r="A16" s="92"/>
    </row>
    <row r="17" ht="12.75">
      <c r="A17" s="92" t="s">
        <v>148</v>
      </c>
    </row>
    <row r="18" ht="12.75">
      <c r="A18" s="92"/>
    </row>
    <row r="19" ht="12.75">
      <c r="A19" s="92" t="s">
        <v>149</v>
      </c>
    </row>
    <row r="20" ht="12.75">
      <c r="A20" s="92"/>
    </row>
    <row r="21" ht="12.75">
      <c r="A21" s="92" t="s">
        <v>150</v>
      </c>
    </row>
    <row r="22" ht="12.75">
      <c r="A22" s="92"/>
    </row>
    <row r="23" ht="12.75">
      <c r="A23" s="92" t="s">
        <v>151</v>
      </c>
    </row>
    <row r="24" ht="12.75">
      <c r="A24" s="92"/>
    </row>
    <row r="25" ht="12.75">
      <c r="A25" s="92" t="s">
        <v>152</v>
      </c>
    </row>
    <row r="26" ht="12.75">
      <c r="A26" s="92"/>
    </row>
    <row r="27" ht="12.75">
      <c r="A27" s="92" t="s">
        <v>153</v>
      </c>
    </row>
    <row r="28" ht="12.75">
      <c r="A28" s="92"/>
    </row>
    <row r="29" ht="12.75">
      <c r="A29" s="92" t="s">
        <v>154</v>
      </c>
    </row>
    <row r="30" ht="12.75">
      <c r="A30" s="92"/>
    </row>
    <row r="31" ht="12.75">
      <c r="A31" s="92" t="s">
        <v>157</v>
      </c>
    </row>
    <row r="32" ht="12.75">
      <c r="A32" s="92"/>
    </row>
    <row r="33" ht="12.75">
      <c r="A33" s="92" t="s">
        <v>158</v>
      </c>
    </row>
    <row r="34" ht="12.75">
      <c r="A34" s="92" t="s">
        <v>159</v>
      </c>
    </row>
    <row r="35" ht="12.75">
      <c r="A35" s="92" t="s">
        <v>160</v>
      </c>
    </row>
    <row r="36" ht="12.75">
      <c r="A36" s="92" t="s">
        <v>161</v>
      </c>
    </row>
    <row r="37" ht="12.75">
      <c r="A37" s="92" t="s">
        <v>162</v>
      </c>
    </row>
    <row r="38" ht="12.75">
      <c r="A38" s="92" t="s">
        <v>163</v>
      </c>
    </row>
    <row r="39" ht="12.75">
      <c r="A39" s="92" t="s">
        <v>164</v>
      </c>
    </row>
    <row r="40" ht="12.75">
      <c r="A40" s="92" t="s">
        <v>165</v>
      </c>
    </row>
    <row r="41" ht="12.75">
      <c r="A41" s="92" t="s">
        <v>166</v>
      </c>
    </row>
    <row r="42" ht="12.75">
      <c r="A42" s="92" t="s">
        <v>167</v>
      </c>
    </row>
    <row r="43" ht="12.75">
      <c r="A43" s="92" t="s">
        <v>168</v>
      </c>
    </row>
    <row r="45" spans="1:6" ht="12.75">
      <c r="A45" s="97" t="s">
        <v>173</v>
      </c>
      <c r="B45" s="97"/>
      <c r="C45" s="97"/>
      <c r="D45" s="97"/>
      <c r="E45" s="97"/>
      <c r="F45" s="97"/>
    </row>
    <row r="46" spans="1:6" ht="12.75">
      <c r="A46" s="97" t="s">
        <v>169</v>
      </c>
      <c r="B46" s="97"/>
      <c r="C46" s="97"/>
      <c r="D46" s="97"/>
      <c r="E46" s="97"/>
      <c r="F46" s="97"/>
    </row>
    <row r="47" spans="1:6" ht="12.75">
      <c r="A47" s="97" t="s">
        <v>170</v>
      </c>
      <c r="B47" s="97"/>
      <c r="C47" s="97"/>
      <c r="D47" s="97"/>
      <c r="E47" s="97"/>
      <c r="F47" s="97"/>
    </row>
    <row r="48" spans="1:6" ht="12.75">
      <c r="A48" s="97" t="s">
        <v>171</v>
      </c>
      <c r="B48" s="97"/>
      <c r="C48" s="97"/>
      <c r="D48" s="97"/>
      <c r="E48" s="97"/>
      <c r="F48" s="97"/>
    </row>
    <row r="49" spans="1:6" ht="12.75">
      <c r="A49" s="97" t="s">
        <v>172</v>
      </c>
      <c r="B49" s="97"/>
      <c r="C49" s="97"/>
      <c r="D49" s="97"/>
      <c r="E49" s="97"/>
      <c r="F49" s="9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Northwest Golf Cars</dc:creator>
  <cp:keywords/>
  <dc:description/>
  <cp:lastModifiedBy>Ross Overstreet</cp:lastModifiedBy>
  <cp:lastPrinted>2000-04-14T22:22:53Z</cp:lastPrinted>
  <dcterms:created xsi:type="dcterms:W3CDTF">1996-12-06T23:08:09Z</dcterms:created>
  <dcterms:modified xsi:type="dcterms:W3CDTF">2000-07-21T00:01:35Z</dcterms:modified>
  <cp:category/>
  <cp:version/>
  <cp:contentType/>
  <cp:contentStatus/>
</cp:coreProperties>
</file>