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  <sheet name="Sheet2" sheetId="2" r:id="rId2"/>
    <sheet name="Sheet3" sheetId="3" r:id="rId3"/>
  </sheets>
  <definedNames>
    <definedName name="BPS">'Sheet1'!$F$12</definedName>
    <definedName name="Ccost">'Sheet1'!$G$35</definedName>
    <definedName name="Co">'Sheet1'!$G$38</definedName>
    <definedName name="Ct">'Sheet1'!$F$43:$F$51</definedName>
    <definedName name="Cwish">'Sheet1'!#REF!</definedName>
    <definedName name="Ecap">'Sheet1'!$D$43:$D$49</definedName>
    <definedName name="F">'Sheet1'!$F$11</definedName>
    <definedName name="Io">'Sheet1'!#REF!</definedName>
    <definedName name="Nline">'Sheet1'!$B$43:$B$50</definedName>
    <definedName name="Nstring">'Sheet1'!$A$43:$A$50</definedName>
    <definedName name="Rcap">'Sheet1'!$G$41</definedName>
    <definedName name="Rpri">'Sheet1'!$F$13</definedName>
    <definedName name="TANG">'Sheet1'!$F$18</definedName>
    <definedName name="TK">'Sheet1'!$G$31</definedName>
    <definedName name="Vacm">'Sheet1'!#REF!</definedName>
    <definedName name="Vf">'Sheet1'!#REF!</definedName>
    <definedName name="Vm">'Sheet1'!$G$32</definedName>
    <definedName name="Vo">'Sheet1'!$B$30</definedName>
    <definedName name="Wo">'Sheet1'!$E$43:$E$51</definedName>
  </definedNames>
  <calcPr fullCalcOnLoad="1"/>
</workbook>
</file>

<file path=xl/sharedStrings.xml><?xml version="1.0" encoding="utf-8"?>
<sst xmlns="http://schemas.openxmlformats.org/spreadsheetml/2006/main" count="330" uniqueCount="203">
  <si>
    <t>Tesla Coil Calculator Version 1.0 by Jason Johnson</t>
  </si>
  <si>
    <t>Secondary Coil</t>
  </si>
  <si>
    <t>Topload</t>
  </si>
  <si>
    <t>Power Transformer</t>
  </si>
  <si>
    <t>Primary voltage</t>
  </si>
  <si>
    <t>Secondary Voltage</t>
  </si>
  <si>
    <t>Secondary Current</t>
  </si>
  <si>
    <t>Frequency</t>
  </si>
  <si>
    <t>VA</t>
  </si>
  <si>
    <t>Regulation coefficient</t>
  </si>
  <si>
    <t>Turns per volt</t>
  </si>
  <si>
    <t>Primary Turns</t>
  </si>
  <si>
    <t>Secondary Turns</t>
  </si>
  <si>
    <t>volts</t>
  </si>
  <si>
    <t>amps</t>
  </si>
  <si>
    <t>hertz</t>
  </si>
  <si>
    <t>Primary current</t>
  </si>
  <si>
    <t>AWG</t>
  </si>
  <si>
    <t>Total power</t>
  </si>
  <si>
    <t>watts</t>
  </si>
  <si>
    <t>BPS</t>
  </si>
  <si>
    <t>$</t>
  </si>
  <si>
    <t>Strings</t>
  </si>
  <si>
    <t>Voltage</t>
  </si>
  <si>
    <t>Cost</t>
  </si>
  <si>
    <t>Capacitor</t>
  </si>
  <si>
    <t>Cross sectional area of the core</t>
  </si>
  <si>
    <t>Sq. inches</t>
  </si>
  <si>
    <t>Size:</t>
  </si>
  <si>
    <t>Current</t>
  </si>
  <si>
    <t>Resonant</t>
  </si>
  <si>
    <t>LTR</t>
  </si>
  <si>
    <t>Transformer info.</t>
  </si>
  <si>
    <t>uf</t>
  </si>
  <si>
    <t>Losses from filter etc</t>
  </si>
  <si>
    <t>Calculations</t>
  </si>
  <si>
    <t>Input</t>
  </si>
  <si>
    <t>Capacitor calculator</t>
  </si>
  <si>
    <t>Plate type capacitor</t>
  </si>
  <si>
    <t>Dielectric constant</t>
  </si>
  <si>
    <t>Length of plate</t>
  </si>
  <si>
    <t>Width of plate</t>
  </si>
  <si>
    <t>Thickness of plates</t>
  </si>
  <si>
    <t>Capacitance</t>
  </si>
  <si>
    <t>Salt water type</t>
  </si>
  <si>
    <t>Bottle/jar radius</t>
  </si>
  <si>
    <t>Height of the part of</t>
  </si>
  <si>
    <t>Thickness of bottle wall</t>
  </si>
  <si>
    <t>the bottle used</t>
  </si>
  <si>
    <t>Number of plates</t>
  </si>
  <si>
    <t>inches</t>
  </si>
  <si>
    <t>Number of bottles</t>
  </si>
  <si>
    <t>Common dielectric constants &amp; puncture voltages</t>
  </si>
  <si>
    <t xml:space="preserve">Kraft paper </t>
  </si>
  <si>
    <t>Transformer oil</t>
  </si>
  <si>
    <t>Beer bottles</t>
  </si>
  <si>
    <t>Window glass</t>
  </si>
  <si>
    <t>Pyrex</t>
  </si>
  <si>
    <t>PVC</t>
  </si>
  <si>
    <t>Plexiglass (acrylic)</t>
  </si>
  <si>
    <t>Polyethylene</t>
  </si>
  <si>
    <t>Polycarbonate (lexan)</t>
  </si>
  <si>
    <t>Teflon</t>
  </si>
  <si>
    <t>Vacuum</t>
  </si>
  <si>
    <t>2.1-2.5</t>
  </si>
  <si>
    <t>~7</t>
  </si>
  <si>
    <t>~300 volts/mil</t>
  </si>
  <si>
    <t>? volts/mil</t>
  </si>
  <si>
    <t>(varies depending on color etc.)</t>
  </si>
  <si>
    <t>7.6-7.8</t>
  </si>
  <si>
    <t>200-250 volts/mil</t>
  </si>
  <si>
    <t>335 volts/mil</t>
  </si>
  <si>
    <t>725 volts/mil</t>
  </si>
  <si>
    <t>500 volts/mil</t>
  </si>
  <si>
    <t>2.2-2.3</t>
  </si>
  <si>
    <t>450-990 volts/mil</t>
  </si>
  <si>
    <t>400 volts/mil</t>
  </si>
  <si>
    <t>1000-2000 volts/mil</t>
  </si>
  <si>
    <t>Individual capacitor:</t>
  </si>
  <si>
    <t>Caps per string</t>
  </si>
  <si>
    <t>RMS</t>
  </si>
  <si>
    <t>DC</t>
  </si>
  <si>
    <t>Voltage:</t>
  </si>
  <si>
    <t>vdc</t>
  </si>
  <si>
    <t>Value</t>
  </si>
  <si>
    <t>Capacitor energy storage:</t>
  </si>
  <si>
    <t>Joules</t>
  </si>
  <si>
    <t>Diameter</t>
  </si>
  <si>
    <t>Length of windings</t>
  </si>
  <si>
    <t>Wire guage used</t>
  </si>
  <si>
    <t>Inductance</t>
  </si>
  <si>
    <t>Self capacitance</t>
  </si>
  <si>
    <t>Self resonant freqency:</t>
  </si>
  <si>
    <t>Unloaded</t>
  </si>
  <si>
    <t>Loaded</t>
  </si>
  <si>
    <t>w/ topload of:</t>
  </si>
  <si>
    <t>pf</t>
  </si>
  <si>
    <t>Toroid:</t>
  </si>
  <si>
    <t>Outer diameter</t>
  </si>
  <si>
    <t>Diameter of tube</t>
  </si>
  <si>
    <t>Sphere:</t>
  </si>
  <si>
    <t>Radius</t>
  </si>
  <si>
    <t>Number of turns</t>
  </si>
  <si>
    <t>Length of wire</t>
  </si>
  <si>
    <t>H/D ratio</t>
  </si>
  <si>
    <t>Medhurst K</t>
  </si>
  <si>
    <t>Diameter of wire</t>
  </si>
  <si>
    <t>Circumference</t>
  </si>
  <si>
    <t>Turns per inch</t>
  </si>
  <si>
    <t>Total capacitance</t>
  </si>
  <si>
    <t>Khz</t>
  </si>
  <si>
    <t>mh</t>
  </si>
  <si>
    <t>feet</t>
  </si>
  <si>
    <t>Primary Coil</t>
  </si>
  <si>
    <t>Inside diameter</t>
  </si>
  <si>
    <t>Wire diameter</t>
  </si>
  <si>
    <t>Wire spacing</t>
  </si>
  <si>
    <t>Loaded sec. frequency</t>
  </si>
  <si>
    <t>degrees</t>
  </si>
  <si>
    <t>Length of wire needed</t>
  </si>
  <si>
    <t># of turns</t>
  </si>
  <si>
    <t>Capacitance needed</t>
  </si>
  <si>
    <t>Spark gap</t>
  </si>
  <si>
    <t>Rotary spark gap:</t>
  </si>
  <si>
    <t>RPM</t>
  </si>
  <si>
    <t>Number of rotating electrodes</t>
  </si>
  <si>
    <t>Electrode speed</t>
  </si>
  <si>
    <t>Diameter of rotor</t>
  </si>
  <si>
    <t>(between Electrodes)</t>
  </si>
  <si>
    <t>Electrode spacing</t>
  </si>
  <si>
    <t>Static gap:</t>
  </si>
  <si>
    <t>Firing voltage</t>
  </si>
  <si>
    <t>Number of gaps</t>
  </si>
  <si>
    <t>Gap spacing</t>
  </si>
  <si>
    <t>Comments</t>
  </si>
  <si>
    <t>watts*</t>
  </si>
  <si>
    <t>MMC**</t>
  </si>
  <si>
    <t>miles per hour</t>
  </si>
  <si>
    <t>Misc. calculators</t>
  </si>
  <si>
    <t>miles</t>
  </si>
  <si>
    <t>gallons</t>
  </si>
  <si>
    <t>liters</t>
  </si>
  <si>
    <t>meters</t>
  </si>
  <si>
    <t>kilometers</t>
  </si>
  <si>
    <t>cm</t>
  </si>
  <si>
    <t>radians</t>
  </si>
  <si>
    <t>SAE to metric &amp; vice versa</t>
  </si>
  <si>
    <t>Diameter of wire to AWG &amp; vice versa</t>
  </si>
  <si>
    <t xml:space="preserve">Input power </t>
  </si>
  <si>
    <t>Approx. spark length</t>
  </si>
  <si>
    <t>Wire table</t>
  </si>
  <si>
    <t>ft/lb</t>
  </si>
  <si>
    <t>turns/inch</t>
  </si>
  <si>
    <t>diam. (in.)</t>
  </si>
  <si>
    <t>DC ohms/1kft</t>
  </si>
  <si>
    <t>Volts/mil</t>
  </si>
  <si>
    <t>190 volts/mil</t>
  </si>
  <si>
    <t>Thickness</t>
  </si>
  <si>
    <t>mils</t>
  </si>
  <si>
    <t>*The actual voltage level for use in a</t>
  </si>
  <si>
    <t xml:space="preserve">tesla coil will probably be less, most </t>
  </si>
  <si>
    <t>homemade caps will fail in TC service</t>
  </si>
  <si>
    <t>Diameter of primary</t>
  </si>
  <si>
    <t>uh</t>
  </si>
  <si>
    <t>Average radius</t>
  </si>
  <si>
    <t>Flat spiral:</t>
  </si>
  <si>
    <t>Helical primary</t>
  </si>
  <si>
    <t>amapacity</t>
  </si>
  <si>
    <t>Voltage*</t>
  </si>
  <si>
    <t>Conical primary:</t>
  </si>
  <si>
    <t>Wier spacing</t>
  </si>
  <si>
    <t>*See Terry's excellent filter at http://hot-streamer.com/TeslaCoils/Misc/NSTFilt.jpg</t>
  </si>
  <si>
    <t>**Great MMC calculator at http://hot-streamer.com/TeslaCoils/MMCInfo/MMCcalc2.xls</t>
  </si>
  <si>
    <t>Angle*</t>
  </si>
  <si>
    <t>(approximate, no airflow)</t>
  </si>
  <si>
    <t>Spark Length Calculator:</t>
  </si>
  <si>
    <t>Calculate the frequncy of a circuit:</t>
  </si>
  <si>
    <t>Inductance of a coil:</t>
  </si>
  <si>
    <t>Peak voltage</t>
  </si>
  <si>
    <t>Peak voltage of a transformer</t>
  </si>
  <si>
    <t>PFC calculator</t>
  </si>
  <si>
    <t>Transformer voltage</t>
  </si>
  <si>
    <t>Transformer current</t>
  </si>
  <si>
    <t>Applied voltage</t>
  </si>
  <si>
    <t>PFC size</t>
  </si>
  <si>
    <t>Pairs of stationary electrodes</t>
  </si>
  <si>
    <t>~</t>
  </si>
  <si>
    <t>kv</t>
  </si>
  <si>
    <t>Safe voltage level*</t>
  </si>
  <si>
    <t xml:space="preserve">*This is an approximation and will depend on the length of your </t>
  </si>
  <si>
    <t>electrodes, the current through the gap, and the speed of the electrodes</t>
  </si>
  <si>
    <t>Width of windings</t>
  </si>
  <si>
    <t>Minimum primary wire size*</t>
  </si>
  <si>
    <t>Minimum Secondary wire size**</t>
  </si>
  <si>
    <t>*,** These are suggestions, common sense must be used when</t>
  </si>
  <si>
    <t>choosing a proper size conductor. The current handling capabiity will</t>
  </si>
  <si>
    <t>also greatly depend on cooling of the wire.</t>
  </si>
  <si>
    <t>1inch=1000mils</t>
  </si>
  <si>
    <t>%</t>
  </si>
  <si>
    <t>Percent of PFC desired*</t>
  </si>
  <si>
    <t xml:space="preserve">*The lower the number the higher the current draw. It may </t>
  </si>
  <si>
    <t xml:space="preserve">be necessary for larger transformers to only partially correct </t>
  </si>
  <si>
    <t>the power factor, because of large capacitor sizes.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</si>
</sst>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"/>
    <numFmt numFmtId="166" formatCode="0.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6"/>
      <name val="Arial"/>
      <family val="2"/>
    </font>
    <font>
      <u val="single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4" borderId="0" xfId="0" applyFill="1" applyAlignment="1">
      <alignment/>
    </xf>
    <xf numFmtId="0" fontId="5" fillId="5" borderId="0" xfId="0" applyFont="1" applyFill="1" applyAlignment="1">
      <alignment/>
    </xf>
    <xf numFmtId="0" fontId="0" fillId="5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4"/>
  <sheetViews>
    <sheetView tabSelected="1" workbookViewId="0" topLeftCell="A1">
      <selection activeCell="A1" sqref="A1"/>
    </sheetView>
  </sheetViews>
  <sheetFormatPr defaultColWidth="9.140625" defaultRowHeight="12.75"/>
  <cols>
    <col min="13" max="13" width="12.421875" style="0" bestFit="1" customWidth="1"/>
    <col min="15" max="15" width="10.00390625" style="0" customWidth="1"/>
  </cols>
  <sheetData>
    <row r="2" s="24" customFormat="1" ht="20.25">
      <c r="E2" s="23" t="s">
        <v>0</v>
      </c>
    </row>
    <row r="4" spans="1:11" ht="12.75">
      <c r="A4" s="3" t="s">
        <v>36</v>
      </c>
      <c r="B4" s="4" t="s">
        <v>35</v>
      </c>
      <c r="C4" s="4"/>
      <c r="D4" s="22" t="s">
        <v>134</v>
      </c>
      <c r="E4" s="6"/>
      <c r="H4" s="6"/>
      <c r="K4" s="2"/>
    </row>
    <row r="6" ht="18">
      <c r="A6" s="19" t="s">
        <v>3</v>
      </c>
    </row>
    <row r="9" spans="1:4" ht="12.75">
      <c r="A9" t="s">
        <v>4</v>
      </c>
      <c r="C9" s="3">
        <v>120</v>
      </c>
      <c r="D9" s="2" t="s">
        <v>13</v>
      </c>
    </row>
    <row r="10" spans="1:4" ht="12.75">
      <c r="A10" t="s">
        <v>5</v>
      </c>
      <c r="C10" s="3">
        <v>10000</v>
      </c>
      <c r="D10" s="2" t="s">
        <v>13</v>
      </c>
    </row>
    <row r="11" spans="1:4" ht="12.75">
      <c r="A11" t="s">
        <v>6</v>
      </c>
      <c r="C11" s="3">
        <v>0.2</v>
      </c>
      <c r="D11" s="2" t="s">
        <v>14</v>
      </c>
    </row>
    <row r="12" spans="1:4" ht="12.75">
      <c r="A12" t="s">
        <v>7</v>
      </c>
      <c r="C12" s="3">
        <v>60</v>
      </c>
      <c r="D12" s="2" t="s">
        <v>15</v>
      </c>
    </row>
    <row r="14" spans="1:5" ht="12.75">
      <c r="A14" t="s">
        <v>8</v>
      </c>
      <c r="D14" s="4">
        <f>C10*C11</f>
        <v>2000</v>
      </c>
      <c r="E14" s="5"/>
    </row>
    <row r="15" spans="1:5" ht="12.75">
      <c r="A15" t="s">
        <v>9</v>
      </c>
      <c r="D15" s="4">
        <f>1+0.6/(D14^0.5)</f>
        <v>1.0134164078649988</v>
      </c>
      <c r="E15" s="5"/>
    </row>
    <row r="16" spans="1:5" ht="12.75">
      <c r="A16" t="s">
        <v>18</v>
      </c>
      <c r="D16" s="4">
        <f>D14*D15</f>
        <v>2026.8328157299975</v>
      </c>
      <c r="E16" s="2" t="s">
        <v>19</v>
      </c>
    </row>
    <row r="17" spans="1:5" ht="12.75">
      <c r="A17" t="s">
        <v>10</v>
      </c>
      <c r="D17" s="4">
        <f>1646/(C12*(D16^0.4654))</f>
        <v>0.793022514034386</v>
      </c>
      <c r="E17" s="5"/>
    </row>
    <row r="18" spans="1:4" ht="12.75">
      <c r="A18" t="s">
        <v>11</v>
      </c>
      <c r="D18" s="4">
        <f>C9*D17</f>
        <v>95.16270168412632</v>
      </c>
    </row>
    <row r="19" spans="1:4" ht="12.75">
      <c r="A19" t="s">
        <v>12</v>
      </c>
      <c r="D19" s="4">
        <f>C10*D15*D17</f>
        <v>8036.620275287981</v>
      </c>
    </row>
    <row r="20" spans="1:5" ht="12.75">
      <c r="A20" t="s">
        <v>16</v>
      </c>
      <c r="D20" s="4">
        <f>D16/C9</f>
        <v>16.890273464416644</v>
      </c>
      <c r="E20" s="2" t="s">
        <v>14</v>
      </c>
    </row>
    <row r="21" spans="1:13" ht="12.75">
      <c r="A21" t="s">
        <v>192</v>
      </c>
      <c r="D21" s="4">
        <f>ROUND((((LOG((4467/((D16^0.202)*D20))^10)))/1.25),0)</f>
        <v>14</v>
      </c>
      <c r="E21" s="2" t="s">
        <v>17</v>
      </c>
      <c r="G21" s="22" t="s">
        <v>194</v>
      </c>
      <c r="H21" s="22"/>
      <c r="I21" s="22"/>
      <c r="J21" s="22"/>
      <c r="K21" s="22"/>
      <c r="L21" s="22"/>
      <c r="M21" s="22"/>
    </row>
    <row r="22" spans="1:13" ht="12.75">
      <c r="A22" t="s">
        <v>193</v>
      </c>
      <c r="D22" s="4">
        <f>ROUND((LOG((684/((D16^0.202)*C11))^10)),0)</f>
        <v>29</v>
      </c>
      <c r="E22" s="2" t="s">
        <v>17</v>
      </c>
      <c r="G22" s="22" t="s">
        <v>195</v>
      </c>
      <c r="H22" s="22"/>
      <c r="I22" s="22"/>
      <c r="J22" s="22"/>
      <c r="K22" s="22"/>
      <c r="L22" s="22"/>
      <c r="M22" s="22"/>
    </row>
    <row r="23" spans="1:13" ht="12.75">
      <c r="A23" t="s">
        <v>26</v>
      </c>
      <c r="D23" s="4">
        <f>74*C9/(C12*D18)</f>
        <v>1.5552311712550637</v>
      </c>
      <c r="E23" s="1" t="s">
        <v>27</v>
      </c>
      <c r="G23" s="22" t="s">
        <v>196</v>
      </c>
      <c r="H23" s="22"/>
      <c r="I23" s="22"/>
      <c r="J23" s="22"/>
      <c r="K23" s="22"/>
      <c r="L23" s="22"/>
      <c r="M23" s="22"/>
    </row>
    <row r="24" ht="12.75">
      <c r="A24" s="25"/>
    </row>
    <row r="25" spans="1:7" ht="12.75">
      <c r="A25" s="26"/>
      <c r="B25" s="6"/>
      <c r="C25" s="6"/>
      <c r="D25" s="6"/>
      <c r="E25" s="6"/>
      <c r="F25" s="6"/>
      <c r="G25" s="6"/>
    </row>
    <row r="27" ht="18">
      <c r="A27" s="19" t="s">
        <v>25</v>
      </c>
    </row>
    <row r="30" spans="1:5" ht="15.75">
      <c r="A30" t="s">
        <v>32</v>
      </c>
      <c r="E30" s="20" t="s">
        <v>37</v>
      </c>
    </row>
    <row r="31" spans="1:10" ht="12.75">
      <c r="A31" t="s">
        <v>23</v>
      </c>
      <c r="B31" s="3">
        <v>15000</v>
      </c>
      <c r="C31" t="s">
        <v>13</v>
      </c>
      <c r="D31" s="6"/>
      <c r="E31" s="6"/>
      <c r="F31" s="6"/>
      <c r="G31" s="6"/>
      <c r="I31" s="6"/>
      <c r="J31" s="6"/>
    </row>
    <row r="32" spans="1:15" ht="12.75">
      <c r="A32" t="s">
        <v>29</v>
      </c>
      <c r="B32" s="3">
        <v>0.06</v>
      </c>
      <c r="C32" t="s">
        <v>14</v>
      </c>
      <c r="D32" s="6"/>
      <c r="E32" s="6" t="s">
        <v>38</v>
      </c>
      <c r="F32" s="6"/>
      <c r="G32" s="6"/>
      <c r="I32" s="6"/>
      <c r="J32" t="s">
        <v>44</v>
      </c>
      <c r="O32" t="s">
        <v>23</v>
      </c>
    </row>
    <row r="34" spans="5:17" ht="12.75">
      <c r="E34" t="s">
        <v>39</v>
      </c>
      <c r="G34" s="3">
        <v>2.2</v>
      </c>
      <c r="J34" t="s">
        <v>39</v>
      </c>
      <c r="M34" s="3">
        <v>7</v>
      </c>
      <c r="O34" t="s">
        <v>157</v>
      </c>
      <c r="P34" s="3">
        <v>16</v>
      </c>
      <c r="Q34" t="s">
        <v>158</v>
      </c>
    </row>
    <row r="35" spans="1:16" ht="12.75">
      <c r="A35" t="s">
        <v>34</v>
      </c>
      <c r="C35" s="4">
        <f>0.1*(B31*B32)</f>
        <v>90</v>
      </c>
      <c r="D35" t="s">
        <v>135</v>
      </c>
      <c r="E35" t="s">
        <v>40</v>
      </c>
      <c r="G35" s="3">
        <v>100</v>
      </c>
      <c r="H35" t="s">
        <v>50</v>
      </c>
      <c r="J35" t="s">
        <v>45</v>
      </c>
      <c r="M35" s="3">
        <v>1.75</v>
      </c>
      <c r="N35" t="s">
        <v>50</v>
      </c>
      <c r="O35" t="s">
        <v>155</v>
      </c>
      <c r="P35" s="3">
        <v>450</v>
      </c>
    </row>
    <row r="36" spans="5:14" ht="12.75">
      <c r="E36" t="s">
        <v>41</v>
      </c>
      <c r="G36" s="3">
        <v>16</v>
      </c>
      <c r="H36" t="s">
        <v>50</v>
      </c>
      <c r="J36" t="s">
        <v>46</v>
      </c>
      <c r="M36" s="3">
        <v>7</v>
      </c>
      <c r="N36" t="s">
        <v>50</v>
      </c>
    </row>
    <row r="37" spans="1:17" ht="12.75">
      <c r="A37" t="s">
        <v>20</v>
      </c>
      <c r="B37" s="3">
        <v>120</v>
      </c>
      <c r="E37" t="s">
        <v>42</v>
      </c>
      <c r="G37" s="3">
        <v>0.07</v>
      </c>
      <c r="H37" t="s">
        <v>50</v>
      </c>
      <c r="J37" t="s">
        <v>48</v>
      </c>
      <c r="O37" t="s">
        <v>168</v>
      </c>
      <c r="P37" s="4">
        <f>P34*P35</f>
        <v>7200</v>
      </c>
      <c r="Q37" t="s">
        <v>13</v>
      </c>
    </row>
    <row r="38" spans="5:14" ht="12.75">
      <c r="E38" t="s">
        <v>49</v>
      </c>
      <c r="G38" s="3">
        <v>2</v>
      </c>
      <c r="J38" t="s">
        <v>47</v>
      </c>
      <c r="M38" s="3">
        <v>0.1</v>
      </c>
      <c r="N38" t="s">
        <v>50</v>
      </c>
    </row>
    <row r="39" spans="1:15" ht="12.75">
      <c r="A39" t="s">
        <v>28</v>
      </c>
      <c r="J39" t="s">
        <v>51</v>
      </c>
      <c r="M39" s="3">
        <v>10</v>
      </c>
      <c r="O39" s="6"/>
    </row>
    <row r="40" spans="1:18" ht="12.75">
      <c r="A40" t="s">
        <v>30</v>
      </c>
      <c r="B40" s="4">
        <f>1/(2*3.141592654*(B31/B32)*0.00006)</f>
        <v>0.010610329538074267</v>
      </c>
      <c r="C40" s="2" t="s">
        <v>33</v>
      </c>
      <c r="O40" s="22" t="s">
        <v>159</v>
      </c>
      <c r="P40" s="22"/>
      <c r="Q40" s="22"/>
      <c r="R40" s="22"/>
    </row>
    <row r="41" spans="1:18" ht="12.75">
      <c r="A41" t="s">
        <v>31</v>
      </c>
      <c r="B41" s="4">
        <f>(0.92*(B31*B32-C35)/(B37*B31^2))*10^6</f>
        <v>0.027600000000000003</v>
      </c>
      <c r="C41" s="2" t="s">
        <v>33</v>
      </c>
      <c r="E41" t="s">
        <v>43</v>
      </c>
      <c r="G41" s="4">
        <f>(((0.224*G34*(G35*G36))/G37)*(G38-1))/10^6</f>
        <v>0.011264</v>
      </c>
      <c r="H41" t="s">
        <v>33</v>
      </c>
      <c r="J41" t="s">
        <v>43</v>
      </c>
      <c r="M41" s="4">
        <f>((0.0884*M34*(3.141592654*(M35*2.54)^2+2*3.141592654*(M35*2.54)*(M37*2.54)))/(1000000*(M38*2.54)))*M39</f>
        <v>0.0015122026394898788</v>
      </c>
      <c r="N41" t="s">
        <v>33</v>
      </c>
      <c r="O41" s="22" t="s">
        <v>160</v>
      </c>
      <c r="P41" s="22"/>
      <c r="Q41" s="22"/>
      <c r="R41" s="22"/>
    </row>
    <row r="42" spans="15:18" ht="13.5" thickBot="1">
      <c r="O42" s="22" t="s">
        <v>161</v>
      </c>
      <c r="P42" s="22"/>
      <c r="Q42" s="22"/>
      <c r="R42" s="22"/>
    </row>
    <row r="43" spans="1:18" ht="15.75">
      <c r="A43" s="20" t="s">
        <v>136</v>
      </c>
      <c r="I43" s="11" t="s">
        <v>52</v>
      </c>
      <c r="J43" s="12"/>
      <c r="K43" s="12"/>
      <c r="L43" s="12"/>
      <c r="M43" s="12"/>
      <c r="N43" s="12"/>
      <c r="O43" s="12"/>
      <c r="P43" s="13"/>
      <c r="R43" s="6"/>
    </row>
    <row r="44" spans="9:16" ht="12.75">
      <c r="I44" s="14" t="s">
        <v>53</v>
      </c>
      <c r="J44" s="7"/>
      <c r="K44" s="8">
        <v>2.2</v>
      </c>
      <c r="L44" s="7"/>
      <c r="M44" s="8" t="s">
        <v>67</v>
      </c>
      <c r="N44" s="7"/>
      <c r="O44" s="27" t="s">
        <v>197</v>
      </c>
      <c r="P44" s="15"/>
    </row>
    <row r="45" spans="1:16" ht="12.75">
      <c r="A45" t="s">
        <v>78</v>
      </c>
      <c r="D45" t="s">
        <v>22</v>
      </c>
      <c r="F45" s="3">
        <v>2</v>
      </c>
      <c r="I45" s="14" t="s">
        <v>54</v>
      </c>
      <c r="J45" s="7"/>
      <c r="K45" s="8" t="s">
        <v>64</v>
      </c>
      <c r="L45" s="7"/>
      <c r="M45" s="8" t="s">
        <v>156</v>
      </c>
      <c r="N45" s="7"/>
      <c r="O45" s="7"/>
      <c r="P45" s="15"/>
    </row>
    <row r="46" spans="1:16" ht="12.75">
      <c r="A46" t="s">
        <v>23</v>
      </c>
      <c r="B46" s="3">
        <v>1600</v>
      </c>
      <c r="C46" t="s">
        <v>83</v>
      </c>
      <c r="D46" t="s">
        <v>79</v>
      </c>
      <c r="F46" s="3">
        <v>18</v>
      </c>
      <c r="I46" s="14" t="s">
        <v>55</v>
      </c>
      <c r="J46" s="7"/>
      <c r="K46" s="8" t="s">
        <v>65</v>
      </c>
      <c r="L46" s="7"/>
      <c r="M46" s="7" t="s">
        <v>66</v>
      </c>
      <c r="N46" s="9" t="s">
        <v>68</v>
      </c>
      <c r="O46" s="7"/>
      <c r="P46" s="15"/>
    </row>
    <row r="47" spans="1:16" ht="12.75">
      <c r="A47" t="s">
        <v>84</v>
      </c>
      <c r="B47" s="21">
        <v>0.56</v>
      </c>
      <c r="C47" t="s">
        <v>33</v>
      </c>
      <c r="I47" s="14" t="s">
        <v>56</v>
      </c>
      <c r="J47" s="7"/>
      <c r="K47" s="8" t="s">
        <v>69</v>
      </c>
      <c r="L47" s="7"/>
      <c r="M47" s="7" t="s">
        <v>70</v>
      </c>
      <c r="N47" s="7"/>
      <c r="O47" s="7"/>
      <c r="P47" s="15"/>
    </row>
    <row r="48" spans="1:16" ht="12.75">
      <c r="A48" t="s">
        <v>24</v>
      </c>
      <c r="B48" s="3">
        <v>1.8</v>
      </c>
      <c r="C48" t="s">
        <v>21</v>
      </c>
      <c r="D48" t="s">
        <v>43</v>
      </c>
      <c r="F48" s="4">
        <f>(((B47^-1)*F46)^-1)*F45</f>
        <v>0.06222222222222223</v>
      </c>
      <c r="G48" s="2" t="s">
        <v>33</v>
      </c>
      <c r="I48" s="14" t="s">
        <v>57</v>
      </c>
      <c r="J48" s="7"/>
      <c r="K48" s="7">
        <v>7.4</v>
      </c>
      <c r="L48" s="7"/>
      <c r="M48" s="7" t="s">
        <v>71</v>
      </c>
      <c r="N48" s="7"/>
      <c r="O48" s="7"/>
      <c r="P48" s="15"/>
    </row>
    <row r="49" spans="4:16" ht="12.75">
      <c r="D49" t="s">
        <v>24</v>
      </c>
      <c r="F49" s="4">
        <f>F45*F46*B48</f>
        <v>64.8</v>
      </c>
      <c r="G49" t="s">
        <v>21</v>
      </c>
      <c r="I49" s="14" t="s">
        <v>58</v>
      </c>
      <c r="J49" s="7"/>
      <c r="K49" s="7">
        <v>2.95</v>
      </c>
      <c r="L49" s="7"/>
      <c r="M49" s="7" t="s">
        <v>72</v>
      </c>
      <c r="N49" s="7"/>
      <c r="O49" s="7"/>
      <c r="P49" s="15"/>
    </row>
    <row r="50" spans="4:16" ht="12.75">
      <c r="D50" t="s">
        <v>82</v>
      </c>
      <c r="E50" t="s">
        <v>81</v>
      </c>
      <c r="F50" s="4">
        <f>B46*F46</f>
        <v>28800</v>
      </c>
      <c r="G50" t="s">
        <v>13</v>
      </c>
      <c r="I50" s="14" t="s">
        <v>59</v>
      </c>
      <c r="J50" s="7"/>
      <c r="K50" s="7">
        <v>2.8</v>
      </c>
      <c r="L50" s="7"/>
      <c r="M50" s="7" t="s">
        <v>73</v>
      </c>
      <c r="N50" s="7"/>
      <c r="O50" s="7"/>
      <c r="P50" s="15"/>
    </row>
    <row r="51" spans="2:16" ht="12.75">
      <c r="B51" s="6"/>
      <c r="E51" t="s">
        <v>80</v>
      </c>
      <c r="F51" s="4">
        <f>F50/SQRT(2)</f>
        <v>20364.675298172566</v>
      </c>
      <c r="G51" t="s">
        <v>13</v>
      </c>
      <c r="I51" s="14" t="s">
        <v>60</v>
      </c>
      <c r="J51" s="7"/>
      <c r="K51" s="8" t="s">
        <v>74</v>
      </c>
      <c r="L51" s="7"/>
      <c r="M51" s="7" t="s">
        <v>75</v>
      </c>
      <c r="N51" s="7"/>
      <c r="O51" s="7"/>
      <c r="P51" s="15"/>
    </row>
    <row r="52" spans="9:16" ht="12.75">
      <c r="I52" s="14" t="s">
        <v>61</v>
      </c>
      <c r="J52" s="7"/>
      <c r="K52" s="7">
        <v>2.96</v>
      </c>
      <c r="L52" s="7"/>
      <c r="M52" s="7" t="s">
        <v>76</v>
      </c>
      <c r="N52" s="7"/>
      <c r="O52" s="7"/>
      <c r="P52" s="15"/>
    </row>
    <row r="53" spans="3:16" ht="12.75">
      <c r="C53" s="6"/>
      <c r="I53" s="14" t="s">
        <v>62</v>
      </c>
      <c r="J53" s="7"/>
      <c r="K53" s="7">
        <v>2.1</v>
      </c>
      <c r="L53" s="7"/>
      <c r="M53" s="7" t="s">
        <v>77</v>
      </c>
      <c r="N53" s="7"/>
      <c r="O53" s="7"/>
      <c r="P53" s="15"/>
    </row>
    <row r="54" spans="1:16" ht="13.5" thickBot="1">
      <c r="A54" t="s">
        <v>85</v>
      </c>
      <c r="I54" s="16" t="s">
        <v>63</v>
      </c>
      <c r="J54" s="17"/>
      <c r="K54" s="17">
        <v>1</v>
      </c>
      <c r="L54" s="17"/>
      <c r="M54" s="17"/>
      <c r="N54" s="17"/>
      <c r="O54" s="17"/>
      <c r="P54" s="18"/>
    </row>
    <row r="55" spans="1:16" ht="12.75">
      <c r="A55" t="s">
        <v>84</v>
      </c>
      <c r="B55" s="3">
        <v>0.01061</v>
      </c>
      <c r="C55" t="s">
        <v>33</v>
      </c>
      <c r="I55" s="10"/>
      <c r="J55" s="10"/>
      <c r="K55" s="10"/>
      <c r="L55" s="10"/>
      <c r="M55" s="10"/>
      <c r="N55" s="10"/>
      <c r="O55" s="10"/>
      <c r="P55" s="10"/>
    </row>
    <row r="56" spans="1:3" ht="12.75">
      <c r="A56" t="s">
        <v>23</v>
      </c>
      <c r="B56" s="3">
        <v>21210</v>
      </c>
      <c r="C56" t="s">
        <v>13</v>
      </c>
    </row>
    <row r="57" spans="1:16" ht="12.75">
      <c r="A57" t="s">
        <v>86</v>
      </c>
      <c r="B57" s="4">
        <f>0.5*(B56^2)*(B55*10^-6)</f>
        <v>2.3865290504999996</v>
      </c>
      <c r="I57" s="22" t="s">
        <v>171</v>
      </c>
      <c r="J57" s="22"/>
      <c r="K57" s="22"/>
      <c r="L57" s="22"/>
      <c r="M57" s="22"/>
      <c r="N57" s="22"/>
      <c r="O57" s="22"/>
      <c r="P57" s="22"/>
    </row>
    <row r="58" spans="9:16" ht="12.75">
      <c r="I58" s="22" t="s">
        <v>172</v>
      </c>
      <c r="J58" s="22"/>
      <c r="K58" s="22"/>
      <c r="L58" s="22"/>
      <c r="M58" s="22"/>
      <c r="N58" s="22"/>
      <c r="O58" s="22"/>
      <c r="P58" s="22"/>
    </row>
    <row r="61" ht="18">
      <c r="A61" s="19" t="s">
        <v>1</v>
      </c>
    </row>
    <row r="64" spans="1:5" ht="12.75">
      <c r="A64" t="s">
        <v>87</v>
      </c>
      <c r="D64" s="3">
        <v>4.1875</v>
      </c>
      <c r="E64" t="s">
        <v>50</v>
      </c>
    </row>
    <row r="65" spans="1:5" ht="12.75">
      <c r="A65" t="s">
        <v>88</v>
      </c>
      <c r="D65" s="3">
        <v>23.75</v>
      </c>
      <c r="E65" t="s">
        <v>50</v>
      </c>
    </row>
    <row r="66" spans="1:10" ht="12.75">
      <c r="A66" t="s">
        <v>89</v>
      </c>
      <c r="D66" s="3">
        <v>28</v>
      </c>
      <c r="E66" t="s">
        <v>17</v>
      </c>
      <c r="F66" s="6"/>
      <c r="G66" s="6"/>
      <c r="H66" s="6"/>
      <c r="I66" s="6"/>
      <c r="J66" s="6"/>
    </row>
    <row r="67" ht="12.75">
      <c r="H67" s="6"/>
    </row>
    <row r="68" spans="1:9" ht="12.75">
      <c r="A68" t="s">
        <v>106</v>
      </c>
      <c r="D68" s="4">
        <f>0.46/((1.122932)^(D66+3))</f>
        <v>0.012641558911783635</v>
      </c>
      <c r="E68" t="s">
        <v>50</v>
      </c>
      <c r="F68" t="s">
        <v>101</v>
      </c>
      <c r="H68" s="4">
        <f>0.5*D64</f>
        <v>2.09375</v>
      </c>
      <c r="I68" t="s">
        <v>50</v>
      </c>
    </row>
    <row r="69" spans="1:9" ht="12.75">
      <c r="A69" t="s">
        <v>90</v>
      </c>
      <c r="D69" s="4">
        <f>((H68^2)*(H71^2))/((9*H68)+(10*D65))*0.001</f>
        <v>50.98271567953655</v>
      </c>
      <c r="E69" t="s">
        <v>111</v>
      </c>
      <c r="F69" t="s">
        <v>107</v>
      </c>
      <c r="H69" s="4">
        <f>D64*3.141592654</f>
        <v>13.155419238625</v>
      </c>
      <c r="I69" t="s">
        <v>50</v>
      </c>
    </row>
    <row r="70" spans="1:8" ht="12.75">
      <c r="A70" t="s">
        <v>91</v>
      </c>
      <c r="D70" s="4">
        <f>D74*D64*2.54</f>
        <v>9.207107650412466</v>
      </c>
      <c r="E70" t="s">
        <v>96</v>
      </c>
      <c r="F70" t="s">
        <v>108</v>
      </c>
      <c r="H70" s="4">
        <f>VLOOKUP(D66,A154:B193,2)</f>
        <v>72.7</v>
      </c>
    </row>
    <row r="71" spans="1:8" ht="12.75">
      <c r="A71" t="s">
        <v>109</v>
      </c>
      <c r="D71" s="4">
        <f>H77+D70</f>
        <v>36.92710765041247</v>
      </c>
      <c r="E71" t="s">
        <v>96</v>
      </c>
      <c r="F71" t="s">
        <v>102</v>
      </c>
      <c r="H71" s="4">
        <f>D65*H70</f>
        <v>1726.625</v>
      </c>
    </row>
    <row r="72" spans="1:5" ht="12.75">
      <c r="A72" t="s">
        <v>103</v>
      </c>
      <c r="D72" s="4">
        <f>(H71*H69)/12</f>
        <v>1892.872978574241</v>
      </c>
      <c r="E72" t="s">
        <v>112</v>
      </c>
    </row>
    <row r="73" spans="1:4" ht="12.75">
      <c r="A73" t="s">
        <v>104</v>
      </c>
      <c r="D73" s="4">
        <f>D65/D64</f>
        <v>5.6716417910447765</v>
      </c>
    </row>
    <row r="74" spans="1:4" ht="12.75">
      <c r="A74" t="s">
        <v>105</v>
      </c>
      <c r="D74" s="4">
        <f>(((0.1045*D73-0.0001*D73^2)+0.0000095*D73^3)-0.0000001*D73^4)+0.257+(0.1/D73)-(0.0031/D73^2)</f>
        <v>0.8656347538288839</v>
      </c>
    </row>
    <row r="75" ht="12.75">
      <c r="A75" t="s">
        <v>92</v>
      </c>
    </row>
    <row r="76" spans="1:5" ht="12.75">
      <c r="A76" t="s">
        <v>93</v>
      </c>
      <c r="D76" s="4">
        <f>1/((2*3.141592654)*((SQRT(D69*D70*1000))/1000000))</f>
        <v>232.29883859621845</v>
      </c>
      <c r="E76" t="s">
        <v>110</v>
      </c>
    </row>
    <row r="77" spans="1:9" ht="12.75">
      <c r="A77" t="s">
        <v>94</v>
      </c>
      <c r="D77" s="4">
        <f>1/((2*3.141592654)*((SQRT(D69*D71*1000))/1000000))</f>
        <v>115.9941275675651</v>
      </c>
      <c r="E77" t="s">
        <v>110</v>
      </c>
      <c r="F77" t="s">
        <v>95</v>
      </c>
      <c r="H77" s="3">
        <v>27.72</v>
      </c>
      <c r="I77" t="s">
        <v>96</v>
      </c>
    </row>
    <row r="81" ht="18">
      <c r="A81" s="19" t="s">
        <v>2</v>
      </c>
    </row>
    <row r="84" spans="1:6" ht="12.75">
      <c r="A84" t="s">
        <v>97</v>
      </c>
      <c r="F84" t="s">
        <v>100</v>
      </c>
    </row>
    <row r="85" spans="1:7" ht="12.75">
      <c r="A85" t="s">
        <v>98</v>
      </c>
      <c r="C85" s="3">
        <v>25</v>
      </c>
      <c r="D85" t="s">
        <v>50</v>
      </c>
      <c r="F85" s="6" t="s">
        <v>101</v>
      </c>
      <c r="G85" s="3">
        <v>8</v>
      </c>
    </row>
    <row r="86" spans="1:4" ht="12.75">
      <c r="A86" t="s">
        <v>99</v>
      </c>
      <c r="C86" s="3">
        <v>8</v>
      </c>
      <c r="D86" t="s">
        <v>50</v>
      </c>
    </row>
    <row r="88" spans="1:8" ht="12.75">
      <c r="A88" t="s">
        <v>43</v>
      </c>
      <c r="C88" s="4">
        <f>(1+(0.2781-(C86/C85)))*2.8*SQRT((3.141592654*(C85-C86)*C86)/(4))</f>
        <v>27.72574766786838</v>
      </c>
      <c r="D88" t="s">
        <v>96</v>
      </c>
      <c r="E88" t="s">
        <v>43</v>
      </c>
      <c r="G88" s="4">
        <f>2.83915*G85</f>
        <v>22.7132</v>
      </c>
      <c r="H88" t="s">
        <v>96</v>
      </c>
    </row>
    <row r="92" ht="18">
      <c r="A92" s="19" t="s">
        <v>113</v>
      </c>
    </row>
    <row r="95" spans="1:5" ht="12.75">
      <c r="A95" t="s">
        <v>117</v>
      </c>
      <c r="D95" s="3">
        <v>115.99</v>
      </c>
      <c r="E95" t="s">
        <v>110</v>
      </c>
    </row>
    <row r="96" ht="12.75">
      <c r="D96" s="6"/>
    </row>
    <row r="97" spans="1:13" ht="12.75">
      <c r="A97" t="s">
        <v>165</v>
      </c>
      <c r="D97" s="6"/>
      <c r="G97" s="6" t="s">
        <v>166</v>
      </c>
      <c r="H97" s="6"/>
      <c r="J97" s="6"/>
      <c r="K97" s="6"/>
      <c r="L97" s="6"/>
      <c r="M97" t="s">
        <v>169</v>
      </c>
    </row>
    <row r="98" spans="1:16" ht="12.75">
      <c r="A98" t="s">
        <v>114</v>
      </c>
      <c r="C98" s="6"/>
      <c r="D98" s="3">
        <v>7.5</v>
      </c>
      <c r="E98" t="s">
        <v>50</v>
      </c>
      <c r="G98" s="6" t="s">
        <v>101</v>
      </c>
      <c r="H98" s="6"/>
      <c r="I98" s="6"/>
      <c r="J98" s="3">
        <v>6</v>
      </c>
      <c r="K98" s="6" t="s">
        <v>50</v>
      </c>
      <c r="L98" s="6"/>
      <c r="M98" t="s">
        <v>114</v>
      </c>
      <c r="O98" s="3">
        <v>7.5</v>
      </c>
      <c r="P98" t="s">
        <v>50</v>
      </c>
    </row>
    <row r="99" spans="1:16" ht="12.75">
      <c r="A99" t="s">
        <v>115</v>
      </c>
      <c r="D99" s="3">
        <v>0.25</v>
      </c>
      <c r="E99" t="s">
        <v>50</v>
      </c>
      <c r="G99" s="6" t="s">
        <v>88</v>
      </c>
      <c r="J99" s="3">
        <v>4</v>
      </c>
      <c r="K99" t="s">
        <v>50</v>
      </c>
      <c r="L99" s="6"/>
      <c r="M99" t="s">
        <v>115</v>
      </c>
      <c r="O99" s="3">
        <v>0.25</v>
      </c>
      <c r="P99" t="s">
        <v>50</v>
      </c>
    </row>
    <row r="100" spans="1:16" ht="12.75">
      <c r="A100" t="s">
        <v>116</v>
      </c>
      <c r="D100" s="3">
        <v>0.25</v>
      </c>
      <c r="E100" t="s">
        <v>50</v>
      </c>
      <c r="G100" s="6" t="s">
        <v>120</v>
      </c>
      <c r="H100" s="6"/>
      <c r="I100" s="6"/>
      <c r="J100" s="3">
        <v>6.67</v>
      </c>
      <c r="K100" s="6"/>
      <c r="L100" s="6"/>
      <c r="M100" t="s">
        <v>170</v>
      </c>
      <c r="O100" s="3">
        <v>0.25</v>
      </c>
      <c r="P100" t="s">
        <v>50</v>
      </c>
    </row>
    <row r="101" spans="1:16" ht="12.75">
      <c r="A101" t="s">
        <v>120</v>
      </c>
      <c r="D101" s="3">
        <v>6.8</v>
      </c>
      <c r="L101" s="6"/>
      <c r="M101" t="s">
        <v>173</v>
      </c>
      <c r="O101" s="3">
        <v>15</v>
      </c>
      <c r="P101" t="s">
        <v>118</v>
      </c>
    </row>
    <row r="102" spans="1:15" ht="12.75">
      <c r="A102" s="6"/>
      <c r="B102" s="6"/>
      <c r="C102" s="6"/>
      <c r="D102" s="6"/>
      <c r="E102" s="6"/>
      <c r="F102" s="6"/>
      <c r="G102" s="6" t="s">
        <v>119</v>
      </c>
      <c r="H102" s="6"/>
      <c r="I102" s="6"/>
      <c r="J102" s="4">
        <f>(J100*3.141592654*J98)/12</f>
        <v>10.47721150109</v>
      </c>
      <c r="K102" s="6" t="s">
        <v>112</v>
      </c>
      <c r="L102" s="6"/>
      <c r="M102" s="6" t="s">
        <v>120</v>
      </c>
      <c r="N102" s="6"/>
      <c r="O102" s="3">
        <v>6</v>
      </c>
    </row>
    <row r="103" spans="1:14" ht="12.75">
      <c r="A103" t="s">
        <v>119</v>
      </c>
      <c r="D103" s="4">
        <f>(2*D105*3.141592654*D101)/12</f>
        <v>18.95951166689</v>
      </c>
      <c r="E103" t="s">
        <v>112</v>
      </c>
      <c r="G103" s="6" t="s">
        <v>90</v>
      </c>
      <c r="H103" s="6"/>
      <c r="I103" s="6"/>
      <c r="J103" s="4">
        <f>((J98^2*J100^2)/(9*J98+10*J99))</f>
        <v>17.038302127659573</v>
      </c>
      <c r="K103" s="6" t="s">
        <v>163</v>
      </c>
      <c r="L103" s="6"/>
      <c r="M103" s="6"/>
      <c r="N103" s="6"/>
    </row>
    <row r="104" spans="1:16" ht="12.75">
      <c r="A104" t="s">
        <v>162</v>
      </c>
      <c r="D104" s="4">
        <f>(((D99+D100)*(D101-1)+D99)+(0.5*D98))*2</f>
        <v>13.8</v>
      </c>
      <c r="E104" t="s">
        <v>50</v>
      </c>
      <c r="G104" s="6" t="s">
        <v>121</v>
      </c>
      <c r="H104" s="6"/>
      <c r="I104" s="6"/>
      <c r="J104" s="4">
        <f>(1/(4*3.141592654^2*D95^2*J103))*1000000</f>
        <v>0.11050269025249108</v>
      </c>
      <c r="K104" s="6" t="s">
        <v>33</v>
      </c>
      <c r="L104" s="6"/>
      <c r="M104" s="6" t="s">
        <v>119</v>
      </c>
      <c r="O104" s="4">
        <f>(2*O106*3.141592654*O102)/12</f>
        <v>15.9534724877456</v>
      </c>
      <c r="P104" t="s">
        <v>112</v>
      </c>
    </row>
    <row r="105" spans="1:16" ht="12.75">
      <c r="A105" t="s">
        <v>164</v>
      </c>
      <c r="D105" s="4">
        <f>(0.5*D98)+(0.5*((D99+D100)*(D101-1)+D99))</f>
        <v>5.325</v>
      </c>
      <c r="E105" t="s">
        <v>50</v>
      </c>
      <c r="G105" s="6"/>
      <c r="H105" s="6"/>
      <c r="I105" s="6"/>
      <c r="J105" s="6"/>
      <c r="K105" s="6"/>
      <c r="M105" s="6" t="s">
        <v>191</v>
      </c>
      <c r="O105" s="4">
        <f>(O99+O100)*(O102-1)+O99</f>
        <v>2.75</v>
      </c>
      <c r="P105" t="s">
        <v>50</v>
      </c>
    </row>
    <row r="106" spans="1:16" ht="12.75">
      <c r="A106" t="s">
        <v>90</v>
      </c>
      <c r="D106" s="4">
        <f>(D105^2*D101^2)/(8*D105+11*((D99+D100)*(D101-1)+D99))</f>
        <v>16.972998058252426</v>
      </c>
      <c r="E106" t="s">
        <v>163</v>
      </c>
      <c r="G106" s="6"/>
      <c r="H106" s="6"/>
      <c r="I106" s="6"/>
      <c r="J106" s="6"/>
      <c r="K106" s="6"/>
      <c r="M106" s="6" t="s">
        <v>164</v>
      </c>
      <c r="O106" s="4">
        <f>(O98*0.5)+((O105*COS(O101*PI()/180))/2)</f>
        <v>5.078148011147469</v>
      </c>
      <c r="P106" t="s">
        <v>50</v>
      </c>
    </row>
    <row r="107" spans="1:16" ht="12.75">
      <c r="A107" t="s">
        <v>121</v>
      </c>
      <c r="B107" s="6"/>
      <c r="C107" s="6"/>
      <c r="D107" s="4">
        <f>(1/(4*3.141592654^2*D95^2*D106))*1000000</f>
        <v>0.11092785234401778</v>
      </c>
      <c r="E107" t="s">
        <v>33</v>
      </c>
      <c r="L107" s="6"/>
      <c r="M107" s="6" t="s">
        <v>90</v>
      </c>
      <c r="O107" s="4">
        <f>SQRT(((O106^2*O102^2)/(9*O106+10*(O105*SIN(O101*PI()/180))))*(SIN(O101*PI()/180)))^2+(((O106^2*O102^2)/(8*O106+11*(O105*COS(O101*PI()/180)))*(COS(O101*PI()/180))^2))</f>
        <v>16.9502239233249</v>
      </c>
      <c r="P107" t="s">
        <v>163</v>
      </c>
    </row>
    <row r="108" spans="6:17" ht="12.75">
      <c r="F108" s="6"/>
      <c r="L108" s="6"/>
      <c r="M108" s="6" t="s">
        <v>121</v>
      </c>
      <c r="O108" s="4">
        <f>(1/(4*3.141592654^2*D95^2*O107))*1000000</f>
        <v>0.1110768937896017</v>
      </c>
      <c r="P108" t="s">
        <v>33</v>
      </c>
      <c r="Q108" s="6"/>
    </row>
    <row r="109" spans="12:17" ht="12.75">
      <c r="L109" s="6"/>
      <c r="Q109" s="6"/>
    </row>
    <row r="110" spans="12:16" ht="12.75">
      <c r="L110" s="6"/>
      <c r="M110" s="6"/>
      <c r="N110" s="6"/>
      <c r="O110" s="6"/>
      <c r="P110" s="6"/>
    </row>
    <row r="111" ht="18">
      <c r="A111" s="19" t="s">
        <v>122</v>
      </c>
    </row>
    <row r="113" spans="1:6" ht="12.75">
      <c r="A113" t="s">
        <v>123</v>
      </c>
      <c r="F113" t="s">
        <v>130</v>
      </c>
    </row>
    <row r="114" spans="1:9" ht="12.75">
      <c r="A114" t="s">
        <v>124</v>
      </c>
      <c r="D114" s="3">
        <v>1800</v>
      </c>
      <c r="F114" t="s">
        <v>131</v>
      </c>
      <c r="H114" s="3">
        <v>21210</v>
      </c>
      <c r="I114" t="s">
        <v>13</v>
      </c>
    </row>
    <row r="115" spans="1:8" ht="12.75">
      <c r="A115" t="s">
        <v>125</v>
      </c>
      <c r="D115" s="3">
        <v>4</v>
      </c>
      <c r="F115" t="s">
        <v>132</v>
      </c>
      <c r="H115" s="3">
        <v>1</v>
      </c>
    </row>
    <row r="116" spans="1:9" ht="12.75">
      <c r="A116" t="s">
        <v>185</v>
      </c>
      <c r="D116" s="3">
        <v>1</v>
      </c>
      <c r="F116" t="s">
        <v>133</v>
      </c>
      <c r="H116" s="4">
        <f>(((H114/1000)*0.119047619)/H115)*0.3</f>
        <v>0.7574999996969999</v>
      </c>
      <c r="I116" t="s">
        <v>50</v>
      </c>
    </row>
    <row r="117" spans="1:6" ht="12.75">
      <c r="A117" t="s">
        <v>127</v>
      </c>
      <c r="D117" s="3">
        <v>6</v>
      </c>
      <c r="E117" t="s">
        <v>50</v>
      </c>
      <c r="F117" t="s">
        <v>174</v>
      </c>
    </row>
    <row r="118" ht="12.75">
      <c r="A118" t="s">
        <v>128</v>
      </c>
    </row>
    <row r="119" spans="1:5" ht="12.75">
      <c r="A119" t="s">
        <v>126</v>
      </c>
      <c r="D119" s="4">
        <f>((D117*3.141592654)/63360)*(D114*60)</f>
        <v>32.129924870454545</v>
      </c>
      <c r="E119" t="s">
        <v>137</v>
      </c>
    </row>
    <row r="120" spans="1:5" ht="12.75">
      <c r="A120" t="s">
        <v>129</v>
      </c>
      <c r="D120" s="4">
        <f>(D117*3.141592654)/D115</f>
        <v>4.712388981</v>
      </c>
      <c r="E120" t="s">
        <v>50</v>
      </c>
    </row>
    <row r="121" spans="1:12" ht="12.75">
      <c r="A121" t="s">
        <v>188</v>
      </c>
      <c r="C121" s="5" t="s">
        <v>186</v>
      </c>
      <c r="D121" s="4">
        <f>ROUND(((D120/0.119047619)/3),0)</f>
        <v>13</v>
      </c>
      <c r="E121" t="s">
        <v>187</v>
      </c>
      <c r="F121" s="22" t="s">
        <v>189</v>
      </c>
      <c r="G121" s="22"/>
      <c r="H121" s="22"/>
      <c r="I121" s="22"/>
      <c r="J121" s="22"/>
      <c r="K121" s="22"/>
      <c r="L121" s="22"/>
    </row>
    <row r="122" spans="1:12" ht="12.75">
      <c r="A122" t="s">
        <v>20</v>
      </c>
      <c r="D122" s="4">
        <f>(D114/60)*D115*D116</f>
        <v>120</v>
      </c>
      <c r="F122" s="22" t="s">
        <v>190</v>
      </c>
      <c r="G122" s="22"/>
      <c r="H122" s="22"/>
      <c r="I122" s="22"/>
      <c r="J122" s="22"/>
      <c r="K122" s="22"/>
      <c r="L122" s="22"/>
    </row>
    <row r="126" ht="18">
      <c r="A126" s="19" t="s">
        <v>138</v>
      </c>
    </row>
    <row r="129" spans="1:11" ht="12.75">
      <c r="A129" t="s">
        <v>146</v>
      </c>
      <c r="F129" t="s">
        <v>175</v>
      </c>
      <c r="K129" t="s">
        <v>179</v>
      </c>
    </row>
    <row r="131" spans="1:14" ht="12.75">
      <c r="A131" t="s">
        <v>50</v>
      </c>
      <c r="B131" s="3"/>
      <c r="C131" t="s">
        <v>144</v>
      </c>
      <c r="D131" s="4">
        <f>B131*2.54</f>
        <v>0</v>
      </c>
      <c r="F131" t="s">
        <v>148</v>
      </c>
      <c r="H131" s="3"/>
      <c r="I131" t="s">
        <v>19</v>
      </c>
      <c r="K131" t="s">
        <v>181</v>
      </c>
      <c r="M131" s="3"/>
      <c r="N131" t="s">
        <v>13</v>
      </c>
    </row>
    <row r="132" spans="1:14" ht="12.75">
      <c r="A132" t="s">
        <v>112</v>
      </c>
      <c r="B132" s="3"/>
      <c r="C132" t="s">
        <v>142</v>
      </c>
      <c r="D132" s="4">
        <f>B132/3.2808333333</f>
        <v>0</v>
      </c>
      <c r="F132" t="s">
        <v>149</v>
      </c>
      <c r="H132" s="4">
        <f>SQRT(H131)*1.5</f>
        <v>0</v>
      </c>
      <c r="I132" t="s">
        <v>50</v>
      </c>
      <c r="K132" t="s">
        <v>178</v>
      </c>
      <c r="M132" s="4">
        <f>M131*1.414</f>
        <v>0</v>
      </c>
      <c r="N132" t="s">
        <v>13</v>
      </c>
    </row>
    <row r="133" spans="1:4" ht="12.75">
      <c r="A133" t="s">
        <v>139</v>
      </c>
      <c r="B133" s="3"/>
      <c r="C133" t="s">
        <v>143</v>
      </c>
      <c r="D133" s="4">
        <f>B133*1.6093</f>
        <v>0</v>
      </c>
    </row>
    <row r="134" spans="1:11" ht="12.75">
      <c r="A134" t="s">
        <v>140</v>
      </c>
      <c r="B134" s="3"/>
      <c r="C134" t="s">
        <v>141</v>
      </c>
      <c r="D134" s="4">
        <f>B134*3.78</f>
        <v>0</v>
      </c>
      <c r="F134" t="s">
        <v>176</v>
      </c>
      <c r="K134" t="s">
        <v>180</v>
      </c>
    </row>
    <row r="136" spans="1:15" ht="12.75">
      <c r="A136" t="s">
        <v>144</v>
      </c>
      <c r="B136" s="3"/>
      <c r="C136" t="s">
        <v>50</v>
      </c>
      <c r="D136" s="4">
        <f>B136/2.54</f>
        <v>0</v>
      </c>
      <c r="F136" t="s">
        <v>43</v>
      </c>
      <c r="H136" s="3">
        <v>0.1</v>
      </c>
      <c r="I136" t="s">
        <v>33</v>
      </c>
      <c r="K136" t="s">
        <v>181</v>
      </c>
      <c r="N136" s="3">
        <v>4800</v>
      </c>
      <c r="O136" t="s">
        <v>13</v>
      </c>
    </row>
    <row r="137" spans="1:15" ht="12.75">
      <c r="A137" t="s">
        <v>142</v>
      </c>
      <c r="B137" s="3"/>
      <c r="C137" t="s">
        <v>112</v>
      </c>
      <c r="D137" s="4">
        <f>B137*3.2808333333</f>
        <v>0</v>
      </c>
      <c r="F137" t="s">
        <v>90</v>
      </c>
      <c r="H137" s="3">
        <v>50</v>
      </c>
      <c r="I137" t="s">
        <v>111</v>
      </c>
      <c r="K137" t="s">
        <v>182</v>
      </c>
      <c r="N137" s="3">
        <v>0.5</v>
      </c>
      <c r="O137" t="s">
        <v>14</v>
      </c>
    </row>
    <row r="138" spans="1:15" ht="12.75">
      <c r="A138" t="s">
        <v>143</v>
      </c>
      <c r="B138" s="3"/>
      <c r="C138" t="s">
        <v>139</v>
      </c>
      <c r="D138" s="4">
        <f>B138/1.6093</f>
        <v>0</v>
      </c>
      <c r="F138" t="s">
        <v>7</v>
      </c>
      <c r="H138" s="4">
        <f>(1/((2*3.141592654)*(SQRT(H136*H137))))*1000</f>
        <v>71.17625433242401</v>
      </c>
      <c r="I138" t="s">
        <v>110</v>
      </c>
      <c r="K138" t="s">
        <v>7</v>
      </c>
      <c r="N138" s="3">
        <v>60</v>
      </c>
      <c r="O138" t="s">
        <v>15</v>
      </c>
    </row>
    <row r="139" spans="1:15" ht="12.75">
      <c r="A139" t="s">
        <v>141</v>
      </c>
      <c r="B139" s="3"/>
      <c r="C139" t="s">
        <v>140</v>
      </c>
      <c r="D139" s="4">
        <f>B139/3.78</f>
        <v>0</v>
      </c>
      <c r="K139" t="s">
        <v>183</v>
      </c>
      <c r="N139" s="3">
        <v>120</v>
      </c>
      <c r="O139" t="s">
        <v>13</v>
      </c>
    </row>
    <row r="140" spans="6:15" ht="12.75">
      <c r="F140" t="s">
        <v>177</v>
      </c>
      <c r="K140" t="s">
        <v>199</v>
      </c>
      <c r="N140" s="3">
        <v>90</v>
      </c>
      <c r="O140" t="s">
        <v>198</v>
      </c>
    </row>
    <row r="141" spans="1:15" ht="12.75">
      <c r="A141" t="s">
        <v>118</v>
      </c>
      <c r="B141" s="3"/>
      <c r="C141" t="s">
        <v>145</v>
      </c>
      <c r="D141" s="4">
        <f>B141/57.3</f>
        <v>0</v>
      </c>
      <c r="K141" t="s">
        <v>184</v>
      </c>
      <c r="N141" s="4">
        <f>(N140/100)*((N136*N137)/1000)*((10^9)/(2*3.141592654*N138*N139^2))</f>
        <v>397.8873576777851</v>
      </c>
      <c r="O141" t="s">
        <v>33</v>
      </c>
    </row>
    <row r="142" spans="1:9" ht="12.75">
      <c r="A142" t="s">
        <v>145</v>
      </c>
      <c r="B142" s="3"/>
      <c r="C142" t="s">
        <v>118</v>
      </c>
      <c r="D142" s="4">
        <f>B142*57.3</f>
        <v>0</v>
      </c>
      <c r="F142" t="s">
        <v>101</v>
      </c>
      <c r="H142" s="3">
        <v>6</v>
      </c>
      <c r="I142" t="s">
        <v>50</v>
      </c>
    </row>
    <row r="143" spans="6:15" ht="12.75">
      <c r="F143" t="s">
        <v>120</v>
      </c>
      <c r="H143" s="3">
        <v>5</v>
      </c>
      <c r="K143" s="22" t="s">
        <v>200</v>
      </c>
      <c r="L143" s="22"/>
      <c r="M143" s="22"/>
      <c r="N143" s="22"/>
      <c r="O143" s="22"/>
    </row>
    <row r="144" spans="1:15" ht="12.75">
      <c r="A144" t="s">
        <v>147</v>
      </c>
      <c r="F144" t="s">
        <v>88</v>
      </c>
      <c r="H144" s="3">
        <v>2.5</v>
      </c>
      <c r="I144" t="s">
        <v>50</v>
      </c>
      <c r="K144" s="22" t="s">
        <v>201</v>
      </c>
      <c r="L144" s="22"/>
      <c r="M144" s="22"/>
      <c r="N144" s="22"/>
      <c r="O144" s="22"/>
    </row>
    <row r="145" spans="6:15" ht="12.75">
      <c r="F145" t="s">
        <v>90</v>
      </c>
      <c r="H145" s="4">
        <f>((H142^2*H143^2)/(9*H142+10*H144))</f>
        <v>11.39240506329114</v>
      </c>
      <c r="I145" t="s">
        <v>163</v>
      </c>
      <c r="K145" s="22" t="s">
        <v>202</v>
      </c>
      <c r="L145" s="22"/>
      <c r="M145" s="22"/>
      <c r="N145" s="22"/>
      <c r="O145" s="22"/>
    </row>
    <row r="146" spans="1:16" ht="12.75">
      <c r="A146" t="s">
        <v>50</v>
      </c>
      <c r="B146" s="3">
        <v>0.1</v>
      </c>
      <c r="C146" t="s">
        <v>17</v>
      </c>
      <c r="D146" s="4">
        <f>ROUND((-8.62448720299999*LOG(B146/0.324557964,2.718281829)),0)</f>
        <v>10</v>
      </c>
      <c r="K146" s="6"/>
      <c r="L146" s="6"/>
      <c r="M146" s="6"/>
      <c r="N146" s="6"/>
      <c r="O146" s="6"/>
      <c r="P146" s="6"/>
    </row>
    <row r="147" spans="1:4" ht="12.75">
      <c r="A147" t="s">
        <v>17</v>
      </c>
      <c r="B147" s="3">
        <v>28</v>
      </c>
      <c r="C147" t="s">
        <v>50</v>
      </c>
      <c r="D147" s="4">
        <f>VLOOKUP(B147,A154:D193,4)</f>
        <v>0.0126</v>
      </c>
    </row>
    <row r="151" ht="18">
      <c r="A151" s="19" t="s">
        <v>150</v>
      </c>
    </row>
    <row r="153" spans="1:10" ht="12.75">
      <c r="A153" t="s">
        <v>17</v>
      </c>
      <c r="B153" t="s">
        <v>152</v>
      </c>
      <c r="D153" t="s">
        <v>153</v>
      </c>
      <c r="F153" s="5" t="s">
        <v>151</v>
      </c>
      <c r="H153" t="s">
        <v>154</v>
      </c>
      <c r="J153" t="s">
        <v>167</v>
      </c>
    </row>
    <row r="154" spans="1:10" ht="12.75">
      <c r="A154" s="2">
        <v>1</v>
      </c>
      <c r="B154" s="5">
        <v>3.5</v>
      </c>
      <c r="D154" s="5">
        <v>0.2893</v>
      </c>
      <c r="F154" s="5">
        <v>3.947</v>
      </c>
      <c r="H154" s="5">
        <v>0.1264</v>
      </c>
      <c r="J154">
        <v>190.86</v>
      </c>
    </row>
    <row r="155" spans="1:10" ht="12.75">
      <c r="A155" s="2">
        <v>2</v>
      </c>
      <c r="B155" s="5">
        <v>3.9</v>
      </c>
      <c r="D155">
        <v>0.2576</v>
      </c>
      <c r="F155">
        <v>4.977</v>
      </c>
      <c r="H155">
        <v>0.1593</v>
      </c>
      <c r="J155">
        <v>15136</v>
      </c>
    </row>
    <row r="156" spans="1:10" ht="12.75">
      <c r="A156" s="2">
        <v>3</v>
      </c>
      <c r="B156" s="5">
        <v>4.5</v>
      </c>
      <c r="D156">
        <v>0.2294</v>
      </c>
      <c r="F156">
        <v>6.276</v>
      </c>
      <c r="H156">
        <v>0.2009</v>
      </c>
      <c r="J156">
        <v>120.03</v>
      </c>
    </row>
    <row r="157" spans="1:10" ht="12.75">
      <c r="A157" s="2">
        <v>4</v>
      </c>
      <c r="B157" s="5">
        <v>4.9</v>
      </c>
      <c r="D157">
        <v>0.2043</v>
      </c>
      <c r="F157">
        <v>7.914</v>
      </c>
      <c r="H157">
        <v>0.2533</v>
      </c>
      <c r="J157">
        <v>95.019</v>
      </c>
    </row>
    <row r="158" spans="1:10" ht="12.75">
      <c r="A158" s="2">
        <v>5</v>
      </c>
      <c r="B158" s="5">
        <v>5.5</v>
      </c>
      <c r="D158">
        <v>0.1819</v>
      </c>
      <c r="F158">
        <v>9.98</v>
      </c>
      <c r="H158">
        <v>0.3195</v>
      </c>
      <c r="J158">
        <v>75.49</v>
      </c>
    </row>
    <row r="159" spans="1:10" ht="12.75">
      <c r="A159" s="2">
        <v>6</v>
      </c>
      <c r="B159" s="5">
        <v>6.2</v>
      </c>
      <c r="D159">
        <v>0.162</v>
      </c>
      <c r="F159">
        <v>12.58</v>
      </c>
      <c r="H159">
        <v>0.4028</v>
      </c>
      <c r="J159">
        <v>59.87</v>
      </c>
    </row>
    <row r="160" spans="1:10" ht="12.75">
      <c r="A160" s="2">
        <v>7</v>
      </c>
      <c r="B160" s="5">
        <v>6.9</v>
      </c>
      <c r="D160">
        <v>0.1443</v>
      </c>
      <c r="F160">
        <v>15.87</v>
      </c>
      <c r="H160">
        <v>0.508</v>
      </c>
      <c r="J160">
        <v>47.48</v>
      </c>
    </row>
    <row r="161" spans="1:10" ht="12.75">
      <c r="A161" s="2">
        <v>8</v>
      </c>
      <c r="B161">
        <v>7.6</v>
      </c>
      <c r="D161">
        <v>0.1286</v>
      </c>
      <c r="F161">
        <v>20.01</v>
      </c>
      <c r="H161">
        <v>0.6405</v>
      </c>
      <c r="J161">
        <v>37.65</v>
      </c>
    </row>
    <row r="162" spans="1:10" ht="12.75">
      <c r="A162" s="2">
        <v>9</v>
      </c>
      <c r="B162">
        <v>8.6</v>
      </c>
      <c r="D162">
        <v>0.1144</v>
      </c>
      <c r="F162">
        <v>25.23</v>
      </c>
      <c r="H162">
        <v>0.8077</v>
      </c>
      <c r="J162">
        <v>29.86</v>
      </c>
    </row>
    <row r="163" spans="1:10" ht="12.75">
      <c r="A163" s="2">
        <v>10</v>
      </c>
      <c r="B163">
        <v>9.6</v>
      </c>
      <c r="D163">
        <v>0.1019</v>
      </c>
      <c r="F163">
        <v>31.82</v>
      </c>
      <c r="H163">
        <v>1.018</v>
      </c>
      <c r="J163">
        <v>23.68</v>
      </c>
    </row>
    <row r="164" spans="1:10" ht="12.75">
      <c r="A164" s="2">
        <v>11</v>
      </c>
      <c r="B164">
        <v>10.7</v>
      </c>
      <c r="D164">
        <v>0.0907</v>
      </c>
      <c r="F164">
        <v>40.12</v>
      </c>
      <c r="H164">
        <v>1.284</v>
      </c>
      <c r="J164">
        <v>18.78</v>
      </c>
    </row>
    <row r="165" spans="1:10" ht="12.75">
      <c r="A165" s="2">
        <v>12</v>
      </c>
      <c r="B165">
        <v>12</v>
      </c>
      <c r="D165">
        <v>0.0808</v>
      </c>
      <c r="F165">
        <v>50.59</v>
      </c>
      <c r="H165">
        <v>1.619</v>
      </c>
      <c r="J165">
        <v>14.89</v>
      </c>
    </row>
    <row r="166" spans="1:10" ht="12.75">
      <c r="A166" s="2">
        <v>13</v>
      </c>
      <c r="B166">
        <v>13.5</v>
      </c>
      <c r="D166">
        <v>0.072</v>
      </c>
      <c r="F166">
        <v>63.8</v>
      </c>
      <c r="H166">
        <v>2.042</v>
      </c>
      <c r="J166">
        <v>11.81</v>
      </c>
    </row>
    <row r="167" spans="1:10" ht="12.75">
      <c r="A167" s="2">
        <v>14</v>
      </c>
      <c r="B167">
        <v>15</v>
      </c>
      <c r="D167">
        <v>0.0641</v>
      </c>
      <c r="F167">
        <v>80.44</v>
      </c>
      <c r="H167">
        <v>2.524</v>
      </c>
      <c r="J167">
        <v>9.37</v>
      </c>
    </row>
    <row r="168" spans="1:10" ht="12.75">
      <c r="A168" s="2">
        <v>15</v>
      </c>
      <c r="B168">
        <v>16.8</v>
      </c>
      <c r="D168">
        <v>0.0571</v>
      </c>
      <c r="F168">
        <v>101.44</v>
      </c>
      <c r="H168">
        <v>3.181</v>
      </c>
      <c r="J168">
        <v>7.43</v>
      </c>
    </row>
    <row r="169" spans="1:10" ht="12.75">
      <c r="A169" s="2">
        <v>16</v>
      </c>
      <c r="B169">
        <v>18.9</v>
      </c>
      <c r="D169">
        <v>0.0508</v>
      </c>
      <c r="F169">
        <v>127.9</v>
      </c>
      <c r="H169">
        <v>4.018</v>
      </c>
      <c r="J169">
        <v>5.89</v>
      </c>
    </row>
    <row r="170" spans="1:10" ht="12.75">
      <c r="A170" s="2">
        <v>17</v>
      </c>
      <c r="B170">
        <v>21.2</v>
      </c>
      <c r="D170">
        <v>0.0453</v>
      </c>
      <c r="F170">
        <v>161.3</v>
      </c>
      <c r="H170">
        <v>5.054</v>
      </c>
      <c r="J170">
        <v>4.67</v>
      </c>
    </row>
    <row r="171" spans="1:10" ht="12.75">
      <c r="A171" s="2">
        <v>18</v>
      </c>
      <c r="B171">
        <v>23.6</v>
      </c>
      <c r="D171">
        <v>0.0403</v>
      </c>
      <c r="F171">
        <v>203.4</v>
      </c>
      <c r="H171">
        <v>6.386</v>
      </c>
      <c r="J171">
        <v>3.7</v>
      </c>
    </row>
    <row r="172" spans="1:10" ht="12.75">
      <c r="A172" s="2">
        <v>19</v>
      </c>
      <c r="B172">
        <v>26.4</v>
      </c>
      <c r="D172">
        <v>0.0359</v>
      </c>
      <c r="F172">
        <v>256.5</v>
      </c>
      <c r="H172">
        <v>8.046</v>
      </c>
      <c r="J172">
        <v>2.94</v>
      </c>
    </row>
    <row r="173" spans="1:10" ht="12.75">
      <c r="A173" s="2">
        <v>20</v>
      </c>
      <c r="B173">
        <v>29.4</v>
      </c>
      <c r="D173">
        <v>0.032</v>
      </c>
      <c r="F173">
        <v>323.4</v>
      </c>
      <c r="H173">
        <v>10.13</v>
      </c>
      <c r="J173">
        <v>2.33</v>
      </c>
    </row>
    <row r="174" spans="1:10" ht="12.75">
      <c r="A174" s="2">
        <v>21</v>
      </c>
      <c r="B174">
        <v>33.1</v>
      </c>
      <c r="D174">
        <v>0.0285</v>
      </c>
      <c r="F174">
        <v>407.8</v>
      </c>
      <c r="H174">
        <v>12.77</v>
      </c>
      <c r="J174">
        <v>1.85</v>
      </c>
    </row>
    <row r="175" spans="1:10" ht="12.75">
      <c r="A175" s="2">
        <v>22</v>
      </c>
      <c r="B175">
        <v>37</v>
      </c>
      <c r="D175">
        <v>0.0253</v>
      </c>
      <c r="F175">
        <v>514.2</v>
      </c>
      <c r="H175">
        <v>16.2</v>
      </c>
      <c r="J175">
        <v>1.47</v>
      </c>
    </row>
    <row r="176" spans="1:10" ht="12.75">
      <c r="A176" s="2">
        <v>23</v>
      </c>
      <c r="B176">
        <v>41.3</v>
      </c>
      <c r="D176">
        <v>0.0226</v>
      </c>
      <c r="F176">
        <v>648.4</v>
      </c>
      <c r="H176">
        <v>20.3</v>
      </c>
      <c r="J176">
        <v>1.16</v>
      </c>
    </row>
    <row r="177" spans="1:10" ht="12.75">
      <c r="A177" s="2">
        <v>24</v>
      </c>
      <c r="B177">
        <v>46.3</v>
      </c>
      <c r="D177">
        <v>0.0201</v>
      </c>
      <c r="F177">
        <v>817.7</v>
      </c>
      <c r="H177">
        <v>25.67</v>
      </c>
      <c r="J177">
        <v>0.92</v>
      </c>
    </row>
    <row r="178" spans="1:10" ht="12.75">
      <c r="A178" s="2">
        <v>25</v>
      </c>
      <c r="B178">
        <v>51.7</v>
      </c>
      <c r="D178">
        <v>0.0179</v>
      </c>
      <c r="F178">
        <v>1031</v>
      </c>
      <c r="H178">
        <v>32.37</v>
      </c>
      <c r="J178">
        <v>0.73</v>
      </c>
    </row>
    <row r="179" spans="1:10" ht="12.75">
      <c r="A179" s="2">
        <v>26</v>
      </c>
      <c r="B179">
        <v>58</v>
      </c>
      <c r="D179">
        <v>0.0159</v>
      </c>
      <c r="F179">
        <v>1300</v>
      </c>
      <c r="H179">
        <v>41.02</v>
      </c>
      <c r="J179">
        <v>0.58</v>
      </c>
    </row>
    <row r="180" spans="1:10" ht="12.75">
      <c r="A180" s="2">
        <v>27</v>
      </c>
      <c r="B180">
        <v>64.9</v>
      </c>
      <c r="D180">
        <v>0.0142</v>
      </c>
      <c r="F180">
        <v>139</v>
      </c>
      <c r="H180">
        <v>51.44</v>
      </c>
      <c r="J180">
        <v>0.46</v>
      </c>
    </row>
    <row r="181" spans="1:10" ht="12.75">
      <c r="A181" s="2">
        <v>28</v>
      </c>
      <c r="B181">
        <v>72.7</v>
      </c>
      <c r="D181">
        <v>0.0126</v>
      </c>
      <c r="F181">
        <v>2067</v>
      </c>
      <c r="H181">
        <v>65.31</v>
      </c>
      <c r="J181">
        <v>0.36</v>
      </c>
    </row>
    <row r="182" spans="1:10" ht="12.75">
      <c r="A182" s="2">
        <v>29</v>
      </c>
      <c r="B182">
        <v>81.6</v>
      </c>
      <c r="D182">
        <v>0.0113</v>
      </c>
      <c r="F182">
        <v>2607</v>
      </c>
      <c r="H182">
        <v>81.21</v>
      </c>
      <c r="J182">
        <v>0.29</v>
      </c>
    </row>
    <row r="183" spans="1:10" ht="12.75">
      <c r="A183" s="2">
        <v>30</v>
      </c>
      <c r="B183">
        <v>90.5</v>
      </c>
      <c r="D183">
        <v>0.01</v>
      </c>
      <c r="F183">
        <v>3287</v>
      </c>
      <c r="H183">
        <v>103.7</v>
      </c>
      <c r="J183">
        <v>0.23</v>
      </c>
    </row>
    <row r="184" spans="1:10" ht="12.75">
      <c r="A184" s="2">
        <v>31</v>
      </c>
      <c r="B184">
        <v>101</v>
      </c>
      <c r="D184">
        <v>0.0089</v>
      </c>
      <c r="F184">
        <v>4145</v>
      </c>
      <c r="H184">
        <v>130.9</v>
      </c>
      <c r="J184">
        <v>0.18</v>
      </c>
    </row>
    <row r="185" spans="1:10" ht="12.75">
      <c r="A185" s="2">
        <v>32</v>
      </c>
      <c r="B185">
        <v>113</v>
      </c>
      <c r="D185">
        <v>0.008</v>
      </c>
      <c r="F185">
        <v>5257</v>
      </c>
      <c r="H185">
        <v>162</v>
      </c>
      <c r="J185">
        <v>0.14</v>
      </c>
    </row>
    <row r="186" spans="1:10" ht="12.75">
      <c r="A186" s="2">
        <v>33</v>
      </c>
      <c r="B186">
        <v>127</v>
      </c>
      <c r="D186">
        <v>0.0071</v>
      </c>
      <c r="F186">
        <v>6591</v>
      </c>
      <c r="H186">
        <v>205.7</v>
      </c>
      <c r="J186">
        <v>0.11</v>
      </c>
    </row>
    <row r="187" spans="1:10" ht="12.75">
      <c r="A187" s="2">
        <v>34</v>
      </c>
      <c r="B187">
        <v>143</v>
      </c>
      <c r="D187">
        <v>0.0063</v>
      </c>
      <c r="F187">
        <v>8310</v>
      </c>
      <c r="H187">
        <v>261.3</v>
      </c>
      <c r="J187">
        <v>0.09</v>
      </c>
    </row>
    <row r="188" spans="1:10" ht="12.75">
      <c r="A188" s="2">
        <v>35</v>
      </c>
      <c r="B188">
        <v>158</v>
      </c>
      <c r="D188">
        <v>0.0056</v>
      </c>
      <c r="F188">
        <v>10480</v>
      </c>
      <c r="H188">
        <v>330.7</v>
      </c>
      <c r="J188">
        <v>0.07</v>
      </c>
    </row>
    <row r="189" spans="1:10" ht="12.75">
      <c r="A189" s="2">
        <v>36</v>
      </c>
      <c r="B189">
        <v>175</v>
      </c>
      <c r="D189">
        <v>0.005</v>
      </c>
      <c r="F189">
        <v>13210</v>
      </c>
      <c r="H189">
        <v>414.8</v>
      </c>
      <c r="J189">
        <v>0.06</v>
      </c>
    </row>
    <row r="190" spans="1:10" ht="12.75">
      <c r="A190" s="2">
        <v>37</v>
      </c>
      <c r="B190">
        <v>198</v>
      </c>
      <c r="D190">
        <v>0.0045</v>
      </c>
      <c r="F190">
        <v>16660</v>
      </c>
      <c r="H190">
        <v>512.1</v>
      </c>
      <c r="J190">
        <v>0.05</v>
      </c>
    </row>
    <row r="191" spans="1:10" ht="12.75">
      <c r="A191" s="2">
        <v>38</v>
      </c>
      <c r="B191">
        <v>224</v>
      </c>
      <c r="D191">
        <v>0.004</v>
      </c>
      <c r="F191">
        <v>21010</v>
      </c>
      <c r="H191">
        <v>648.2</v>
      </c>
      <c r="J191">
        <v>0.04</v>
      </c>
    </row>
    <row r="192" spans="1:10" ht="12.75">
      <c r="A192" s="2">
        <v>39</v>
      </c>
      <c r="B192">
        <v>248</v>
      </c>
      <c r="D192">
        <v>0.0036</v>
      </c>
      <c r="F192">
        <v>26500</v>
      </c>
      <c r="H192">
        <v>846.6</v>
      </c>
      <c r="J192">
        <v>0.03</v>
      </c>
    </row>
    <row r="193" spans="1:10" ht="12.75">
      <c r="A193" s="2">
        <v>40</v>
      </c>
      <c r="B193">
        <v>282</v>
      </c>
      <c r="D193">
        <v>0.0031</v>
      </c>
      <c r="F193">
        <v>33410</v>
      </c>
      <c r="H193">
        <v>1079</v>
      </c>
      <c r="J193">
        <v>0.02</v>
      </c>
    </row>
    <row r="194" ht="12.75">
      <c r="A194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Johnson</dc:creator>
  <cp:keywords/>
  <dc:description/>
  <cp:lastModifiedBy>Jason Johnson</cp:lastModifiedBy>
  <dcterms:created xsi:type="dcterms:W3CDTF">2001-02-14T16:08:48Z</dcterms:created>
  <dcterms:modified xsi:type="dcterms:W3CDTF">2001-02-17T03:01:32Z</dcterms:modified>
  <cp:category/>
  <cp:version/>
  <cp:contentType/>
  <cp:contentStatus/>
</cp:coreProperties>
</file>